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stavební\"/>
    </mc:Choice>
  </mc:AlternateContent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62913"/>
</workbook>
</file>

<file path=xl/calcChain.xml><?xml version="1.0" encoding="utf-8"?>
<calcChain xmlns="http://schemas.openxmlformats.org/spreadsheetml/2006/main">
  <c r="BJ36" i="1" l="1"/>
  <c r="BF36" i="1"/>
  <c r="BD36" i="1"/>
  <c r="AP36" i="1"/>
  <c r="BI36" i="1" s="1"/>
  <c r="AC36" i="1" s="1"/>
  <c r="AO36" i="1"/>
  <c r="BH36" i="1" s="1"/>
  <c r="AB36" i="1" s="1"/>
  <c r="AK36" i="1"/>
  <c r="AT35" i="1" s="1"/>
  <c r="AJ36" i="1"/>
  <c r="AH36" i="1"/>
  <c r="AG36" i="1"/>
  <c r="AF36" i="1"/>
  <c r="AE36" i="1"/>
  <c r="AD36" i="1"/>
  <c r="Z36" i="1"/>
  <c r="K36" i="1"/>
  <c r="AL36" i="1" s="1"/>
  <c r="AU35" i="1" s="1"/>
  <c r="AS35" i="1"/>
  <c r="K35" i="1" l="1"/>
  <c r="K381" i="1" s="1"/>
  <c r="I36" i="1"/>
  <c r="I35" i="1" s="1"/>
  <c r="J36" i="1"/>
  <c r="J35" i="1" s="1"/>
  <c r="AX36" i="1"/>
  <c r="AW36" i="1"/>
  <c r="BC36" i="1" l="1"/>
  <c r="AV36" i="1"/>
  <c r="C2" i="2" l="1"/>
  <c r="F2" i="2"/>
  <c r="C4" i="2"/>
  <c r="F4" i="2"/>
  <c r="C6" i="2"/>
  <c r="F6" i="2"/>
  <c r="C8" i="2"/>
  <c r="F8" i="2"/>
  <c r="C10" i="2"/>
  <c r="F10" i="2"/>
  <c r="I10" i="2"/>
  <c r="F22" i="2"/>
  <c r="I22" i="2"/>
  <c r="K12" i="1"/>
  <c r="AU12" i="1"/>
  <c r="K13" i="1"/>
  <c r="Z13" i="1"/>
  <c r="AD13" i="1"/>
  <c r="AE13" i="1"/>
  <c r="AF13" i="1"/>
  <c r="AG13" i="1"/>
  <c r="AH13" i="1"/>
  <c r="AJ13" i="1"/>
  <c r="AK13" i="1"/>
  <c r="AL13" i="1"/>
  <c r="AO13" i="1"/>
  <c r="I13" i="1" s="1"/>
  <c r="I12" i="1" s="1"/>
  <c r="AP13" i="1"/>
  <c r="AW13" i="1"/>
  <c r="BD13" i="1"/>
  <c r="BF13" i="1"/>
  <c r="BH13" i="1"/>
  <c r="AB13" i="1" s="1"/>
  <c r="BJ13" i="1"/>
  <c r="K15" i="1"/>
  <c r="AS15" i="1"/>
  <c r="I16" i="1"/>
  <c r="I15" i="1" s="1"/>
  <c r="J16" i="1"/>
  <c r="J15" i="1" s="1"/>
  <c r="K16" i="1"/>
  <c r="Z16" i="1"/>
  <c r="AB16" i="1"/>
  <c r="AC16" i="1"/>
  <c r="AD16" i="1"/>
  <c r="AE16" i="1"/>
  <c r="AF16" i="1"/>
  <c r="AG16" i="1"/>
  <c r="AH16" i="1"/>
  <c r="AJ16" i="1"/>
  <c r="AK16" i="1"/>
  <c r="AT15" i="1" s="1"/>
  <c r="AL16" i="1"/>
  <c r="AU15" i="1" s="1"/>
  <c r="AO16" i="1"/>
  <c r="AP16" i="1"/>
  <c r="AV16" i="1"/>
  <c r="AW16" i="1"/>
  <c r="BC16" i="1" s="1"/>
  <c r="AX16" i="1"/>
  <c r="BD16" i="1"/>
  <c r="BF16" i="1"/>
  <c r="BH16" i="1"/>
  <c r="BI16" i="1"/>
  <c r="BJ16" i="1"/>
  <c r="AS18" i="1"/>
  <c r="J19" i="1"/>
  <c r="J18" i="1" s="1"/>
  <c r="K19" i="1"/>
  <c r="K18" i="1" s="1"/>
  <c r="Z19" i="1"/>
  <c r="AC19" i="1"/>
  <c r="AD19" i="1"/>
  <c r="AE19" i="1"/>
  <c r="AF19" i="1"/>
  <c r="AG19" i="1"/>
  <c r="AH19" i="1"/>
  <c r="AJ19" i="1"/>
  <c r="AK19" i="1"/>
  <c r="AL19" i="1"/>
  <c r="AU18" i="1" s="1"/>
  <c r="AO19" i="1"/>
  <c r="I19" i="1" s="1"/>
  <c r="AP19" i="1"/>
  <c r="AW19" i="1"/>
  <c r="AX19" i="1"/>
  <c r="BD19" i="1"/>
  <c r="BF19" i="1"/>
  <c r="BH19" i="1"/>
  <c r="AB19" i="1" s="1"/>
  <c r="BI19" i="1"/>
  <c r="BJ19" i="1"/>
  <c r="I22" i="1"/>
  <c r="J22" i="1"/>
  <c r="K22" i="1"/>
  <c r="Z22" i="1"/>
  <c r="AB22" i="1"/>
  <c r="AC22" i="1"/>
  <c r="AD22" i="1"/>
  <c r="AE22" i="1"/>
  <c r="AF22" i="1"/>
  <c r="AG22" i="1"/>
  <c r="AH22" i="1"/>
  <c r="AJ22" i="1"/>
  <c r="AK22" i="1"/>
  <c r="AT18" i="1" s="1"/>
  <c r="AL22" i="1"/>
  <c r="AO22" i="1"/>
  <c r="AP22" i="1"/>
  <c r="AV22" i="1"/>
  <c r="AW22" i="1"/>
  <c r="BC22" i="1" s="1"/>
  <c r="AX22" i="1"/>
  <c r="BD22" i="1"/>
  <c r="BF22" i="1"/>
  <c r="BH22" i="1"/>
  <c r="BI22" i="1"/>
  <c r="BJ22" i="1"/>
  <c r="AS24" i="1"/>
  <c r="J25" i="1"/>
  <c r="K25" i="1"/>
  <c r="K24" i="1" s="1"/>
  <c r="Z25" i="1"/>
  <c r="AC25" i="1"/>
  <c r="AD25" i="1"/>
  <c r="AE25" i="1"/>
  <c r="AF25" i="1"/>
  <c r="AG25" i="1"/>
  <c r="AH25" i="1"/>
  <c r="AJ25" i="1"/>
  <c r="AK25" i="1"/>
  <c r="AL25" i="1"/>
  <c r="AU24" i="1" s="1"/>
  <c r="AO25" i="1"/>
  <c r="I25" i="1" s="1"/>
  <c r="I24" i="1" s="1"/>
  <c r="AP25" i="1"/>
  <c r="AW25" i="1"/>
  <c r="AX25" i="1"/>
  <c r="BD25" i="1"/>
  <c r="BF25" i="1"/>
  <c r="BH25" i="1"/>
  <c r="AB25" i="1" s="1"/>
  <c r="BI25" i="1"/>
  <c r="BJ25" i="1"/>
  <c r="I28" i="1"/>
  <c r="J28" i="1"/>
  <c r="K28" i="1"/>
  <c r="Z28" i="1"/>
  <c r="AB28" i="1"/>
  <c r="AC28" i="1"/>
  <c r="AD28" i="1"/>
  <c r="AE28" i="1"/>
  <c r="AF28" i="1"/>
  <c r="AG28" i="1"/>
  <c r="AH28" i="1"/>
  <c r="AJ28" i="1"/>
  <c r="AK28" i="1"/>
  <c r="AT24" i="1" s="1"/>
  <c r="AL28" i="1"/>
  <c r="AO28" i="1"/>
  <c r="AP28" i="1"/>
  <c r="AV28" i="1"/>
  <c r="AW28" i="1"/>
  <c r="BC28" i="1" s="1"/>
  <c r="AX28" i="1"/>
  <c r="BD28" i="1"/>
  <c r="BF28" i="1"/>
  <c r="BH28" i="1"/>
  <c r="BI28" i="1"/>
  <c r="BJ28" i="1"/>
  <c r="I30" i="1"/>
  <c r="K30" i="1"/>
  <c r="Z30" i="1"/>
  <c r="AB30" i="1"/>
  <c r="AD30" i="1"/>
  <c r="AE30" i="1"/>
  <c r="AF30" i="1"/>
  <c r="AG30" i="1"/>
  <c r="AH30" i="1"/>
  <c r="AJ30" i="1"/>
  <c r="AK30" i="1"/>
  <c r="AL30" i="1"/>
  <c r="AO30" i="1"/>
  <c r="AP30" i="1"/>
  <c r="AW30" i="1"/>
  <c r="BD30" i="1"/>
  <c r="BF30" i="1"/>
  <c r="BH30" i="1"/>
  <c r="BI30" i="1"/>
  <c r="AC30" i="1" s="1"/>
  <c r="BJ30" i="1"/>
  <c r="K32" i="1"/>
  <c r="AS32" i="1"/>
  <c r="I33" i="1"/>
  <c r="I32" i="1" s="1"/>
  <c r="J33" i="1"/>
  <c r="J32" i="1" s="1"/>
  <c r="K33" i="1"/>
  <c r="Z33" i="1"/>
  <c r="AB33" i="1"/>
  <c r="AC33" i="1"/>
  <c r="AD33" i="1"/>
  <c r="AE33" i="1"/>
  <c r="AF33" i="1"/>
  <c r="AG33" i="1"/>
  <c r="AH33" i="1"/>
  <c r="AJ33" i="1"/>
  <c r="AK33" i="1"/>
  <c r="AT32" i="1" s="1"/>
  <c r="AL33" i="1"/>
  <c r="AU32" i="1" s="1"/>
  <c r="AO33" i="1"/>
  <c r="AP33" i="1"/>
  <c r="AV33" i="1"/>
  <c r="AW33" i="1"/>
  <c r="BC33" i="1" s="1"/>
  <c r="AX33" i="1"/>
  <c r="BD33" i="1"/>
  <c r="BF33" i="1"/>
  <c r="BH33" i="1"/>
  <c r="BI33" i="1"/>
  <c r="BJ33" i="1"/>
  <c r="AS37" i="1"/>
  <c r="AT37" i="1"/>
  <c r="J38" i="1"/>
  <c r="J37" i="1" s="1"/>
  <c r="K38" i="1"/>
  <c r="K37" i="1" s="1"/>
  <c r="Z38" i="1"/>
  <c r="AC38" i="1"/>
  <c r="AD38" i="1"/>
  <c r="AE38" i="1"/>
  <c r="AF38" i="1"/>
  <c r="AG38" i="1"/>
  <c r="AH38" i="1"/>
  <c r="AJ38" i="1"/>
  <c r="AK38" i="1"/>
  <c r="AL38" i="1"/>
  <c r="AU37" i="1" s="1"/>
  <c r="AO38" i="1"/>
  <c r="I38" i="1" s="1"/>
  <c r="I37" i="1" s="1"/>
  <c r="AP38" i="1"/>
  <c r="AW38" i="1"/>
  <c r="AX38" i="1"/>
  <c r="BD38" i="1"/>
  <c r="BF38" i="1"/>
  <c r="BH38" i="1"/>
  <c r="AB38" i="1" s="1"/>
  <c r="BI38" i="1"/>
  <c r="BJ38" i="1"/>
  <c r="AT40" i="1"/>
  <c r="K41" i="1"/>
  <c r="Z41" i="1"/>
  <c r="AD41" i="1"/>
  <c r="AE41" i="1"/>
  <c r="AF41" i="1"/>
  <c r="AG41" i="1"/>
  <c r="AH41" i="1"/>
  <c r="AJ41" i="1"/>
  <c r="AS40" i="1" s="1"/>
  <c r="AK41" i="1"/>
  <c r="AO41" i="1"/>
  <c r="AP41" i="1"/>
  <c r="J41" i="1" s="1"/>
  <c r="J40" i="1" s="1"/>
  <c r="AX41" i="1"/>
  <c r="BD41" i="1"/>
  <c r="BF41" i="1"/>
  <c r="BH41" i="1"/>
  <c r="AB41" i="1" s="1"/>
  <c r="BI41" i="1"/>
  <c r="AC41" i="1" s="1"/>
  <c r="BJ41" i="1"/>
  <c r="J43" i="1"/>
  <c r="K43" i="1"/>
  <c r="Z43" i="1"/>
  <c r="AC43" i="1"/>
  <c r="AD43" i="1"/>
  <c r="AE43" i="1"/>
  <c r="AF43" i="1"/>
  <c r="AG43" i="1"/>
  <c r="AH43" i="1"/>
  <c r="AJ43" i="1"/>
  <c r="AK43" i="1"/>
  <c r="AL43" i="1"/>
  <c r="AO43" i="1"/>
  <c r="I43" i="1" s="1"/>
  <c r="AP43" i="1"/>
  <c r="AW43" i="1"/>
  <c r="AX43" i="1"/>
  <c r="BD43" i="1"/>
  <c r="BF43" i="1"/>
  <c r="BH43" i="1"/>
  <c r="AB43" i="1" s="1"/>
  <c r="BI43" i="1"/>
  <c r="BJ43" i="1"/>
  <c r="K46" i="1"/>
  <c r="Z46" i="1"/>
  <c r="AD46" i="1"/>
  <c r="AE46" i="1"/>
  <c r="AF46" i="1"/>
  <c r="AG46" i="1"/>
  <c r="AH46" i="1"/>
  <c r="AJ46" i="1"/>
  <c r="AK46" i="1"/>
  <c r="AO46" i="1"/>
  <c r="AP46" i="1"/>
  <c r="J46" i="1" s="1"/>
  <c r="AX46" i="1"/>
  <c r="BD46" i="1"/>
  <c r="BF46" i="1"/>
  <c r="BH46" i="1"/>
  <c r="AB46" i="1" s="1"/>
  <c r="BI46" i="1"/>
  <c r="AC46" i="1" s="1"/>
  <c r="BJ46" i="1"/>
  <c r="J48" i="1"/>
  <c r="K48" i="1"/>
  <c r="Z48" i="1"/>
  <c r="AC48" i="1"/>
  <c r="AD48" i="1"/>
  <c r="AE48" i="1"/>
  <c r="AF48" i="1"/>
  <c r="AG48" i="1"/>
  <c r="AH48" i="1"/>
  <c r="AJ48" i="1"/>
  <c r="AK48" i="1"/>
  <c r="AL48" i="1"/>
  <c r="AO48" i="1"/>
  <c r="I48" i="1" s="1"/>
  <c r="AP48" i="1"/>
  <c r="AW48" i="1"/>
  <c r="AX48" i="1"/>
  <c r="BD48" i="1"/>
  <c r="BF48" i="1"/>
  <c r="BH48" i="1"/>
  <c r="AB48" i="1" s="1"/>
  <c r="BI48" i="1"/>
  <c r="BJ48" i="1"/>
  <c r="I50" i="1"/>
  <c r="J50" i="1"/>
  <c r="K50" i="1"/>
  <c r="Z50" i="1"/>
  <c r="AB50" i="1"/>
  <c r="AC50" i="1"/>
  <c r="AD50" i="1"/>
  <c r="AE50" i="1"/>
  <c r="AF50" i="1"/>
  <c r="AG50" i="1"/>
  <c r="AH50" i="1"/>
  <c r="AJ50" i="1"/>
  <c r="AK50" i="1"/>
  <c r="AT45" i="1" s="1"/>
  <c r="AL50" i="1"/>
  <c r="AO50" i="1"/>
  <c r="AP50" i="1"/>
  <c r="AX50" i="1" s="1"/>
  <c r="AV50" i="1"/>
  <c r="AW50" i="1"/>
  <c r="BC50" i="1" s="1"/>
  <c r="BD50" i="1"/>
  <c r="BF50" i="1"/>
  <c r="BH50" i="1"/>
  <c r="BI50" i="1"/>
  <c r="BJ50" i="1"/>
  <c r="I52" i="1"/>
  <c r="K52" i="1"/>
  <c r="AL52" i="1" s="1"/>
  <c r="Z52" i="1"/>
  <c r="AB52" i="1"/>
  <c r="AD52" i="1"/>
  <c r="AE52" i="1"/>
  <c r="AF52" i="1"/>
  <c r="AG52" i="1"/>
  <c r="AH52" i="1"/>
  <c r="AJ52" i="1"/>
  <c r="AK52" i="1"/>
  <c r="AO52" i="1"/>
  <c r="AW52" i="1" s="1"/>
  <c r="AP52" i="1"/>
  <c r="BD52" i="1"/>
  <c r="BF52" i="1"/>
  <c r="BH52" i="1"/>
  <c r="BI52" i="1"/>
  <c r="AC52" i="1" s="1"/>
  <c r="BJ52" i="1"/>
  <c r="K55" i="1"/>
  <c r="AL55" i="1" s="1"/>
  <c r="Z55" i="1"/>
  <c r="AD55" i="1"/>
  <c r="AE55" i="1"/>
  <c r="AF55" i="1"/>
  <c r="AG55" i="1"/>
  <c r="AH55" i="1"/>
  <c r="AJ55" i="1"/>
  <c r="AK55" i="1"/>
  <c r="AO55" i="1"/>
  <c r="AP55" i="1"/>
  <c r="J55" i="1" s="1"/>
  <c r="AX55" i="1"/>
  <c r="BD55" i="1"/>
  <c r="BF55" i="1"/>
  <c r="BH55" i="1"/>
  <c r="AB55" i="1" s="1"/>
  <c r="BI55" i="1"/>
  <c r="AC55" i="1" s="1"/>
  <c r="BJ55" i="1"/>
  <c r="J62" i="1"/>
  <c r="K62" i="1"/>
  <c r="Z62" i="1"/>
  <c r="AC62" i="1"/>
  <c r="AD62" i="1"/>
  <c r="AE62" i="1"/>
  <c r="AF62" i="1"/>
  <c r="AG62" i="1"/>
  <c r="AH62" i="1"/>
  <c r="AJ62" i="1"/>
  <c r="AK62" i="1"/>
  <c r="AL62" i="1"/>
  <c r="AO62" i="1"/>
  <c r="I62" i="1" s="1"/>
  <c r="AP62" i="1"/>
  <c r="AW62" i="1"/>
  <c r="AX62" i="1"/>
  <c r="BD62" i="1"/>
  <c r="BF62" i="1"/>
  <c r="BH62" i="1"/>
  <c r="AB62" i="1" s="1"/>
  <c r="BI62" i="1"/>
  <c r="BJ62" i="1"/>
  <c r="I82" i="1"/>
  <c r="J82" i="1"/>
  <c r="K82" i="1"/>
  <c r="Z82" i="1"/>
  <c r="AB82" i="1"/>
  <c r="AC82" i="1"/>
  <c r="AD82" i="1"/>
  <c r="AE82" i="1"/>
  <c r="AF82" i="1"/>
  <c r="AG82" i="1"/>
  <c r="AH82" i="1"/>
  <c r="AJ82" i="1"/>
  <c r="AK82" i="1"/>
  <c r="AL82" i="1"/>
  <c r="AO82" i="1"/>
  <c r="AP82" i="1"/>
  <c r="AX82" i="1" s="1"/>
  <c r="AV82" i="1"/>
  <c r="AW82" i="1"/>
  <c r="BC82" i="1" s="1"/>
  <c r="BD82" i="1"/>
  <c r="BF82" i="1"/>
  <c r="BH82" i="1"/>
  <c r="BI82" i="1"/>
  <c r="BJ82" i="1"/>
  <c r="K84" i="1"/>
  <c r="AL84" i="1" s="1"/>
  <c r="Z84" i="1"/>
  <c r="AB84" i="1"/>
  <c r="AD84" i="1"/>
  <c r="AE84" i="1"/>
  <c r="AF84" i="1"/>
  <c r="AG84" i="1"/>
  <c r="AH84" i="1"/>
  <c r="AJ84" i="1"/>
  <c r="AK84" i="1"/>
  <c r="AO84" i="1"/>
  <c r="I84" i="1" s="1"/>
  <c r="AP84" i="1"/>
  <c r="BI84" i="1" s="1"/>
  <c r="AC84" i="1" s="1"/>
  <c r="BD84" i="1"/>
  <c r="BF84" i="1"/>
  <c r="BH84" i="1"/>
  <c r="BJ84" i="1"/>
  <c r="K86" i="1"/>
  <c r="AL86" i="1" s="1"/>
  <c r="Z86" i="1"/>
  <c r="AD86" i="1"/>
  <c r="AE86" i="1"/>
  <c r="AF86" i="1"/>
  <c r="AG86" i="1"/>
  <c r="AH86" i="1"/>
  <c r="AJ86" i="1"/>
  <c r="AK86" i="1"/>
  <c r="AO86" i="1"/>
  <c r="BH86" i="1" s="1"/>
  <c r="AB86" i="1" s="1"/>
  <c r="AP86" i="1"/>
  <c r="J86" i="1" s="1"/>
  <c r="AX86" i="1"/>
  <c r="BD86" i="1"/>
  <c r="BF86" i="1"/>
  <c r="BI86" i="1"/>
  <c r="AC86" i="1" s="1"/>
  <c r="BJ86" i="1"/>
  <c r="J91" i="1"/>
  <c r="K91" i="1"/>
  <c r="Z91" i="1"/>
  <c r="AC91" i="1"/>
  <c r="AD91" i="1"/>
  <c r="AE91" i="1"/>
  <c r="AF91" i="1"/>
  <c r="AG91" i="1"/>
  <c r="AH91" i="1"/>
  <c r="AJ91" i="1"/>
  <c r="AK91" i="1"/>
  <c r="AL91" i="1"/>
  <c r="AO91" i="1"/>
  <c r="I91" i="1" s="1"/>
  <c r="AP91" i="1"/>
  <c r="AW91" i="1"/>
  <c r="AX91" i="1"/>
  <c r="BD91" i="1"/>
  <c r="BF91" i="1"/>
  <c r="BH91" i="1"/>
  <c r="AB91" i="1" s="1"/>
  <c r="BI91" i="1"/>
  <c r="BJ91" i="1"/>
  <c r="I93" i="1"/>
  <c r="K93" i="1"/>
  <c r="Z93" i="1"/>
  <c r="AB93" i="1"/>
  <c r="AD93" i="1"/>
  <c r="AE93" i="1"/>
  <c r="AF93" i="1"/>
  <c r="AG93" i="1"/>
  <c r="AH93" i="1"/>
  <c r="AJ93" i="1"/>
  <c r="AK93" i="1"/>
  <c r="AL93" i="1"/>
  <c r="AO93" i="1"/>
  <c r="AP93" i="1"/>
  <c r="J93" i="1" s="1"/>
  <c r="AW93" i="1"/>
  <c r="BD93" i="1"/>
  <c r="BF93" i="1"/>
  <c r="BH93" i="1"/>
  <c r="BI93" i="1"/>
  <c r="AC93" i="1" s="1"/>
  <c r="BJ93" i="1"/>
  <c r="K96" i="1"/>
  <c r="AL96" i="1" s="1"/>
  <c r="Z96" i="1"/>
  <c r="AD96" i="1"/>
  <c r="AE96" i="1"/>
  <c r="AF96" i="1"/>
  <c r="AG96" i="1"/>
  <c r="AH96" i="1"/>
  <c r="AJ96" i="1"/>
  <c r="AK96" i="1"/>
  <c r="AO96" i="1"/>
  <c r="I96" i="1" s="1"/>
  <c r="AP96" i="1"/>
  <c r="BI96" i="1" s="1"/>
  <c r="AC96" i="1" s="1"/>
  <c r="BD96" i="1"/>
  <c r="BF96" i="1"/>
  <c r="BH96" i="1"/>
  <c r="AB96" i="1" s="1"/>
  <c r="BJ96" i="1"/>
  <c r="K101" i="1"/>
  <c r="AL101" i="1" s="1"/>
  <c r="Z101" i="1"/>
  <c r="AD101" i="1"/>
  <c r="AE101" i="1"/>
  <c r="AF101" i="1"/>
  <c r="AG101" i="1"/>
  <c r="AH101" i="1"/>
  <c r="AJ101" i="1"/>
  <c r="AK101" i="1"/>
  <c r="AO101" i="1"/>
  <c r="BH101" i="1" s="1"/>
  <c r="AB101" i="1" s="1"/>
  <c r="AP101" i="1"/>
  <c r="J101" i="1" s="1"/>
  <c r="AX101" i="1"/>
  <c r="BD101" i="1"/>
  <c r="BF101" i="1"/>
  <c r="BI101" i="1"/>
  <c r="AC101" i="1" s="1"/>
  <c r="BJ101" i="1"/>
  <c r="J103" i="1"/>
  <c r="K103" i="1"/>
  <c r="Z103" i="1"/>
  <c r="AC103" i="1"/>
  <c r="AD103" i="1"/>
  <c r="AE103" i="1"/>
  <c r="AF103" i="1"/>
  <c r="AG103" i="1"/>
  <c r="AH103" i="1"/>
  <c r="AJ103" i="1"/>
  <c r="AK103" i="1"/>
  <c r="AL103" i="1"/>
  <c r="AO103" i="1"/>
  <c r="I103" i="1" s="1"/>
  <c r="AP103" i="1"/>
  <c r="AW103" i="1"/>
  <c r="AX103" i="1"/>
  <c r="BD103" i="1"/>
  <c r="BF103" i="1"/>
  <c r="BH103" i="1"/>
  <c r="AB103" i="1" s="1"/>
  <c r="BI103" i="1"/>
  <c r="BJ103" i="1"/>
  <c r="I105" i="1"/>
  <c r="K105" i="1"/>
  <c r="Z105" i="1"/>
  <c r="AB105" i="1"/>
  <c r="AD105" i="1"/>
  <c r="AE105" i="1"/>
  <c r="AF105" i="1"/>
  <c r="AG105" i="1"/>
  <c r="AH105" i="1"/>
  <c r="AJ105" i="1"/>
  <c r="AK105" i="1"/>
  <c r="AL105" i="1"/>
  <c r="AO105" i="1"/>
  <c r="AP105" i="1"/>
  <c r="J105" i="1" s="1"/>
  <c r="AW105" i="1"/>
  <c r="BD105" i="1"/>
  <c r="BF105" i="1"/>
  <c r="BH105" i="1"/>
  <c r="BI105" i="1"/>
  <c r="AC105" i="1" s="1"/>
  <c r="BJ105" i="1"/>
  <c r="K110" i="1"/>
  <c r="AL110" i="1" s="1"/>
  <c r="Z110" i="1"/>
  <c r="AD110" i="1"/>
  <c r="AE110" i="1"/>
  <c r="AF110" i="1"/>
  <c r="AG110" i="1"/>
  <c r="AH110" i="1"/>
  <c r="AJ110" i="1"/>
  <c r="AK110" i="1"/>
  <c r="AO110" i="1"/>
  <c r="I110" i="1" s="1"/>
  <c r="AP110" i="1"/>
  <c r="BI110" i="1" s="1"/>
  <c r="AC110" i="1" s="1"/>
  <c r="BD110" i="1"/>
  <c r="BF110" i="1"/>
  <c r="BH110" i="1"/>
  <c r="AB110" i="1" s="1"/>
  <c r="BJ110" i="1"/>
  <c r="K113" i="1"/>
  <c r="AL113" i="1" s="1"/>
  <c r="Z113" i="1"/>
  <c r="AD113" i="1"/>
  <c r="AE113" i="1"/>
  <c r="AF113" i="1"/>
  <c r="AG113" i="1"/>
  <c r="AH113" i="1"/>
  <c r="AJ113" i="1"/>
  <c r="AK113" i="1"/>
  <c r="AO113" i="1"/>
  <c r="BH113" i="1" s="1"/>
  <c r="AB113" i="1" s="1"/>
  <c r="AP113" i="1"/>
  <c r="J113" i="1" s="1"/>
  <c r="AX113" i="1"/>
  <c r="BD113" i="1"/>
  <c r="BF113" i="1"/>
  <c r="BI113" i="1"/>
  <c r="AC113" i="1" s="1"/>
  <c r="BJ113" i="1"/>
  <c r="J118" i="1"/>
  <c r="K118" i="1"/>
  <c r="Z118" i="1"/>
  <c r="AC118" i="1"/>
  <c r="AD118" i="1"/>
  <c r="AE118" i="1"/>
  <c r="AF118" i="1"/>
  <c r="AG118" i="1"/>
  <c r="AH118" i="1"/>
  <c r="AJ118" i="1"/>
  <c r="AK118" i="1"/>
  <c r="AL118" i="1"/>
  <c r="AO118" i="1"/>
  <c r="I118" i="1" s="1"/>
  <c r="AP118" i="1"/>
  <c r="AW118" i="1"/>
  <c r="AX118" i="1"/>
  <c r="BD118" i="1"/>
  <c r="BF118" i="1"/>
  <c r="BH118" i="1"/>
  <c r="AB118" i="1" s="1"/>
  <c r="BI118" i="1"/>
  <c r="BJ118" i="1"/>
  <c r="I120" i="1"/>
  <c r="K120" i="1"/>
  <c r="Z120" i="1"/>
  <c r="AB120" i="1"/>
  <c r="AD120" i="1"/>
  <c r="AE120" i="1"/>
  <c r="AF120" i="1"/>
  <c r="AG120" i="1"/>
  <c r="AH120" i="1"/>
  <c r="AJ120" i="1"/>
  <c r="AK120" i="1"/>
  <c r="AL120" i="1"/>
  <c r="AO120" i="1"/>
  <c r="AP120" i="1"/>
  <c r="J120" i="1" s="1"/>
  <c r="AW120" i="1"/>
  <c r="BD120" i="1"/>
  <c r="BF120" i="1"/>
  <c r="BH120" i="1"/>
  <c r="BI120" i="1"/>
  <c r="AC120" i="1" s="1"/>
  <c r="BJ120" i="1"/>
  <c r="K122" i="1"/>
  <c r="AL122" i="1" s="1"/>
  <c r="Z122" i="1"/>
  <c r="AD122" i="1"/>
  <c r="AE122" i="1"/>
  <c r="AF122" i="1"/>
  <c r="AG122" i="1"/>
  <c r="AH122" i="1"/>
  <c r="AJ122" i="1"/>
  <c r="AK122" i="1"/>
  <c r="AO122" i="1"/>
  <c r="AP122" i="1"/>
  <c r="J122" i="1" s="1"/>
  <c r="BD122" i="1"/>
  <c r="BF122" i="1"/>
  <c r="BI122" i="1"/>
  <c r="AC122" i="1" s="1"/>
  <c r="BJ122" i="1"/>
  <c r="K124" i="1"/>
  <c r="AS124" i="1"/>
  <c r="AU124" i="1"/>
  <c r="I125" i="1"/>
  <c r="I124" i="1" s="1"/>
  <c r="K125" i="1"/>
  <c r="Z125" i="1"/>
  <c r="AB125" i="1"/>
  <c r="AD125" i="1"/>
  <c r="AE125" i="1"/>
  <c r="AF125" i="1"/>
  <c r="AG125" i="1"/>
  <c r="AH125" i="1"/>
  <c r="AJ125" i="1"/>
  <c r="AK125" i="1"/>
  <c r="AT124" i="1" s="1"/>
  <c r="AL125" i="1"/>
  <c r="AO125" i="1"/>
  <c r="AP125" i="1"/>
  <c r="AX125" i="1" s="1"/>
  <c r="AV125" i="1" s="1"/>
  <c r="AW125" i="1"/>
  <c r="BC125" i="1"/>
  <c r="BD125" i="1"/>
  <c r="BF125" i="1"/>
  <c r="BH125" i="1"/>
  <c r="BI125" i="1"/>
  <c r="AC125" i="1" s="1"/>
  <c r="BJ125" i="1"/>
  <c r="I129" i="1"/>
  <c r="J129" i="1"/>
  <c r="K129" i="1"/>
  <c r="Z129" i="1"/>
  <c r="AB129" i="1"/>
  <c r="AC129" i="1"/>
  <c r="AD129" i="1"/>
  <c r="AF129" i="1"/>
  <c r="AG129" i="1"/>
  <c r="AH129" i="1"/>
  <c r="AJ129" i="1"/>
  <c r="AK129" i="1"/>
  <c r="AO129" i="1"/>
  <c r="AP129" i="1"/>
  <c r="AV129" i="1"/>
  <c r="AW129" i="1"/>
  <c r="BC129" i="1" s="1"/>
  <c r="AX129" i="1"/>
  <c r="BD129" i="1"/>
  <c r="BF129" i="1"/>
  <c r="BH129" i="1"/>
  <c r="BI129" i="1"/>
  <c r="AE129" i="1" s="1"/>
  <c r="BJ129" i="1"/>
  <c r="I132" i="1"/>
  <c r="J132" i="1"/>
  <c r="K132" i="1"/>
  <c r="Z132" i="1"/>
  <c r="AB132" i="1"/>
  <c r="AC132" i="1"/>
  <c r="AF132" i="1"/>
  <c r="AG132" i="1"/>
  <c r="AH132" i="1"/>
  <c r="AJ132" i="1"/>
  <c r="AK132" i="1"/>
  <c r="AL132" i="1"/>
  <c r="AO132" i="1"/>
  <c r="AP132" i="1"/>
  <c r="AX132" i="1" s="1"/>
  <c r="AV132" i="1"/>
  <c r="AW132" i="1"/>
  <c r="BC132" i="1" s="1"/>
  <c r="BD132" i="1"/>
  <c r="BF132" i="1"/>
  <c r="BH132" i="1"/>
  <c r="AD132" i="1" s="1"/>
  <c r="BI132" i="1"/>
  <c r="AE132" i="1" s="1"/>
  <c r="BJ132" i="1"/>
  <c r="I134" i="1"/>
  <c r="K134" i="1"/>
  <c r="AL134" i="1" s="1"/>
  <c r="Z134" i="1"/>
  <c r="AB134" i="1"/>
  <c r="AC134" i="1"/>
  <c r="AF134" i="1"/>
  <c r="AG134" i="1"/>
  <c r="AH134" i="1"/>
  <c r="AJ134" i="1"/>
  <c r="AK134" i="1"/>
  <c r="AO134" i="1"/>
  <c r="AP134" i="1"/>
  <c r="J134" i="1" s="1"/>
  <c r="BD134" i="1"/>
  <c r="BF134" i="1"/>
  <c r="BI134" i="1"/>
  <c r="AE134" i="1" s="1"/>
  <c r="BJ134" i="1"/>
  <c r="K136" i="1"/>
  <c r="AL136" i="1" s="1"/>
  <c r="Z136" i="1"/>
  <c r="AB136" i="1"/>
  <c r="AC136" i="1"/>
  <c r="AF136" i="1"/>
  <c r="AG136" i="1"/>
  <c r="AH136" i="1"/>
  <c r="AJ136" i="1"/>
  <c r="AK136" i="1"/>
  <c r="AO136" i="1"/>
  <c r="AP136" i="1"/>
  <c r="J136" i="1" s="1"/>
  <c r="AX136" i="1"/>
  <c r="BD136" i="1"/>
  <c r="BF136" i="1"/>
  <c r="BI136" i="1"/>
  <c r="AE136" i="1" s="1"/>
  <c r="BJ136" i="1"/>
  <c r="J138" i="1"/>
  <c r="K138" i="1"/>
  <c r="Z138" i="1"/>
  <c r="AB138" i="1"/>
  <c r="AC138" i="1"/>
  <c r="AF138" i="1"/>
  <c r="AG138" i="1"/>
  <c r="AH138" i="1"/>
  <c r="AJ138" i="1"/>
  <c r="AK138" i="1"/>
  <c r="AL138" i="1"/>
  <c r="AO138" i="1"/>
  <c r="I138" i="1" s="1"/>
  <c r="AP138" i="1"/>
  <c r="AW138" i="1"/>
  <c r="AX138" i="1"/>
  <c r="BD138" i="1"/>
  <c r="BF138" i="1"/>
  <c r="BH138" i="1"/>
  <c r="AD138" i="1" s="1"/>
  <c r="BI138" i="1"/>
  <c r="AE138" i="1" s="1"/>
  <c r="BJ138" i="1"/>
  <c r="I140" i="1"/>
  <c r="J140" i="1"/>
  <c r="K140" i="1"/>
  <c r="Z140" i="1"/>
  <c r="AB140" i="1"/>
  <c r="AC140" i="1"/>
  <c r="AF140" i="1"/>
  <c r="AG140" i="1"/>
  <c r="AH140" i="1"/>
  <c r="AJ140" i="1"/>
  <c r="AK140" i="1"/>
  <c r="AL140" i="1"/>
  <c r="AO140" i="1"/>
  <c r="AP140" i="1"/>
  <c r="AV140" i="1"/>
  <c r="AW140" i="1"/>
  <c r="BC140" i="1" s="1"/>
  <c r="AX140" i="1"/>
  <c r="BD140" i="1"/>
  <c r="BF140" i="1"/>
  <c r="BH140" i="1"/>
  <c r="AD140" i="1" s="1"/>
  <c r="BI140" i="1"/>
  <c r="AE140" i="1" s="1"/>
  <c r="BJ140" i="1"/>
  <c r="I142" i="1"/>
  <c r="K142" i="1"/>
  <c r="Z142" i="1"/>
  <c r="AB142" i="1"/>
  <c r="AC142" i="1"/>
  <c r="AF142" i="1"/>
  <c r="AG142" i="1"/>
  <c r="AH142" i="1"/>
  <c r="AJ142" i="1"/>
  <c r="AK142" i="1"/>
  <c r="AL142" i="1"/>
  <c r="AO142" i="1"/>
  <c r="AP142" i="1"/>
  <c r="AW142" i="1"/>
  <c r="BD142" i="1"/>
  <c r="BF142" i="1"/>
  <c r="BH142" i="1"/>
  <c r="AD142" i="1" s="1"/>
  <c r="BI142" i="1"/>
  <c r="AE142" i="1" s="1"/>
  <c r="BJ142" i="1"/>
  <c r="K144" i="1"/>
  <c r="AL144" i="1" s="1"/>
  <c r="Z144" i="1"/>
  <c r="AB144" i="1"/>
  <c r="AC144" i="1"/>
  <c r="AF144" i="1"/>
  <c r="AG144" i="1"/>
  <c r="AH144" i="1"/>
  <c r="AJ144" i="1"/>
  <c r="AK144" i="1"/>
  <c r="AO144" i="1"/>
  <c r="AP144" i="1"/>
  <c r="J144" i="1" s="1"/>
  <c r="AX144" i="1"/>
  <c r="BD144" i="1"/>
  <c r="BF144" i="1"/>
  <c r="BH144" i="1"/>
  <c r="AD144" i="1" s="1"/>
  <c r="BI144" i="1"/>
  <c r="AE144" i="1" s="1"/>
  <c r="BJ144" i="1"/>
  <c r="J146" i="1"/>
  <c r="K146" i="1"/>
  <c r="Z146" i="1"/>
  <c r="AB146" i="1"/>
  <c r="AC146" i="1"/>
  <c r="AF146" i="1"/>
  <c r="AG146" i="1"/>
  <c r="AH146" i="1"/>
  <c r="AJ146" i="1"/>
  <c r="AK146" i="1"/>
  <c r="AL146" i="1"/>
  <c r="AO146" i="1"/>
  <c r="I146" i="1" s="1"/>
  <c r="AP146" i="1"/>
  <c r="AW146" i="1"/>
  <c r="AX146" i="1"/>
  <c r="BD146" i="1"/>
  <c r="BF146" i="1"/>
  <c r="BH146" i="1"/>
  <c r="AD146" i="1" s="1"/>
  <c r="BI146" i="1"/>
  <c r="AE146" i="1" s="1"/>
  <c r="BJ146" i="1"/>
  <c r="I148" i="1"/>
  <c r="J148" i="1"/>
  <c r="K148" i="1"/>
  <c r="Z148" i="1"/>
  <c r="AB148" i="1"/>
  <c r="AC148" i="1"/>
  <c r="AF148" i="1"/>
  <c r="AG148" i="1"/>
  <c r="AH148" i="1"/>
  <c r="AJ148" i="1"/>
  <c r="AK148" i="1"/>
  <c r="AL148" i="1"/>
  <c r="AO148" i="1"/>
  <c r="AP148" i="1"/>
  <c r="AV148" i="1"/>
  <c r="AW148" i="1"/>
  <c r="BC148" i="1" s="1"/>
  <c r="AX148" i="1"/>
  <c r="BD148" i="1"/>
  <c r="BF148" i="1"/>
  <c r="BH148" i="1"/>
  <c r="AD148" i="1" s="1"/>
  <c r="BI148" i="1"/>
  <c r="AE148" i="1" s="1"/>
  <c r="BJ148" i="1"/>
  <c r="I150" i="1"/>
  <c r="K150" i="1"/>
  <c r="Z150" i="1"/>
  <c r="AB150" i="1"/>
  <c r="AC150" i="1"/>
  <c r="AF150" i="1"/>
  <c r="AG150" i="1"/>
  <c r="AH150" i="1"/>
  <c r="AJ150" i="1"/>
  <c r="AK150" i="1"/>
  <c r="AL150" i="1"/>
  <c r="AO150" i="1"/>
  <c r="AP150" i="1"/>
  <c r="AW150" i="1"/>
  <c r="BD150" i="1"/>
  <c r="BF150" i="1"/>
  <c r="BH150" i="1"/>
  <c r="AD150" i="1" s="1"/>
  <c r="BJ150" i="1"/>
  <c r="K152" i="1"/>
  <c r="AL152" i="1" s="1"/>
  <c r="Z152" i="1"/>
  <c r="AB152" i="1"/>
  <c r="AC152" i="1"/>
  <c r="AF152" i="1"/>
  <c r="AG152" i="1"/>
  <c r="AH152" i="1"/>
  <c r="AJ152" i="1"/>
  <c r="AK152" i="1"/>
  <c r="AO152" i="1"/>
  <c r="BH152" i="1" s="1"/>
  <c r="AD152" i="1" s="1"/>
  <c r="AP152" i="1"/>
  <c r="J152" i="1" s="1"/>
  <c r="AX152" i="1"/>
  <c r="BD152" i="1"/>
  <c r="BF152" i="1"/>
  <c r="BI152" i="1"/>
  <c r="AE152" i="1" s="1"/>
  <c r="BJ152" i="1"/>
  <c r="J154" i="1"/>
  <c r="K154" i="1"/>
  <c r="Z154" i="1"/>
  <c r="AB154" i="1"/>
  <c r="AC154" i="1"/>
  <c r="AF154" i="1"/>
  <c r="AG154" i="1"/>
  <c r="AH154" i="1"/>
  <c r="AJ154" i="1"/>
  <c r="AK154" i="1"/>
  <c r="AL154" i="1"/>
  <c r="AO154" i="1"/>
  <c r="I154" i="1" s="1"/>
  <c r="AP154" i="1"/>
  <c r="AW154" i="1"/>
  <c r="AX154" i="1"/>
  <c r="BD154" i="1"/>
  <c r="BF154" i="1"/>
  <c r="BH154" i="1"/>
  <c r="AD154" i="1" s="1"/>
  <c r="BI154" i="1"/>
  <c r="AE154" i="1" s="1"/>
  <c r="BJ154" i="1"/>
  <c r="I156" i="1"/>
  <c r="J156" i="1"/>
  <c r="K156" i="1"/>
  <c r="Z156" i="1"/>
  <c r="AB156" i="1"/>
  <c r="AC156" i="1"/>
  <c r="AF156" i="1"/>
  <c r="AG156" i="1"/>
  <c r="AH156" i="1"/>
  <c r="AJ156" i="1"/>
  <c r="AK156" i="1"/>
  <c r="AL156" i="1"/>
  <c r="AO156" i="1"/>
  <c r="AP156" i="1"/>
  <c r="AV156" i="1"/>
  <c r="AW156" i="1"/>
  <c r="BC156" i="1" s="1"/>
  <c r="AX156" i="1"/>
  <c r="BD156" i="1"/>
  <c r="BF156" i="1"/>
  <c r="BH156" i="1"/>
  <c r="AD156" i="1" s="1"/>
  <c r="BI156" i="1"/>
  <c r="AE156" i="1" s="1"/>
  <c r="BJ156" i="1"/>
  <c r="I158" i="1"/>
  <c r="K158" i="1"/>
  <c r="Z158" i="1"/>
  <c r="AB158" i="1"/>
  <c r="AC158" i="1"/>
  <c r="AD158" i="1"/>
  <c r="AE158" i="1"/>
  <c r="AF158" i="1"/>
  <c r="AG158" i="1"/>
  <c r="AH158" i="1"/>
  <c r="AJ158" i="1"/>
  <c r="AK158" i="1"/>
  <c r="AL158" i="1"/>
  <c r="AO158" i="1"/>
  <c r="AP158" i="1"/>
  <c r="AW158" i="1"/>
  <c r="BD158" i="1"/>
  <c r="BF158" i="1"/>
  <c r="BH158" i="1"/>
  <c r="BI158" i="1"/>
  <c r="BJ158" i="1"/>
  <c r="I161" i="1"/>
  <c r="J161" i="1"/>
  <c r="K161" i="1"/>
  <c r="Z161" i="1"/>
  <c r="AB161" i="1"/>
  <c r="AC161" i="1"/>
  <c r="AF161" i="1"/>
  <c r="AG161" i="1"/>
  <c r="AH161" i="1"/>
  <c r="AJ161" i="1"/>
  <c r="AK161" i="1"/>
  <c r="AT160" i="1" s="1"/>
  <c r="AL161" i="1"/>
  <c r="AO161" i="1"/>
  <c r="AP161" i="1"/>
  <c r="AV161" i="1"/>
  <c r="AW161" i="1"/>
  <c r="BC161" i="1" s="1"/>
  <c r="AX161" i="1"/>
  <c r="BD161" i="1"/>
  <c r="BF161" i="1"/>
  <c r="BH161" i="1"/>
  <c r="AD161" i="1" s="1"/>
  <c r="BI161" i="1"/>
  <c r="AE161" i="1" s="1"/>
  <c r="BJ161" i="1"/>
  <c r="I164" i="1"/>
  <c r="K164" i="1"/>
  <c r="Z164" i="1"/>
  <c r="AB164" i="1"/>
  <c r="AC164" i="1"/>
  <c r="AF164" i="1"/>
  <c r="AG164" i="1"/>
  <c r="AH164" i="1"/>
  <c r="AJ164" i="1"/>
  <c r="AS160" i="1" s="1"/>
  <c r="AK164" i="1"/>
  <c r="AL164" i="1"/>
  <c r="AO164" i="1"/>
  <c r="AP164" i="1"/>
  <c r="AW164" i="1"/>
  <c r="BD164" i="1"/>
  <c r="BF164" i="1"/>
  <c r="BH164" i="1"/>
  <c r="AD164" i="1" s="1"/>
  <c r="BI164" i="1"/>
  <c r="AE164" i="1" s="1"/>
  <c r="BJ164" i="1"/>
  <c r="K169" i="1"/>
  <c r="AL169" i="1" s="1"/>
  <c r="Z169" i="1"/>
  <c r="AB169" i="1"/>
  <c r="AC169" i="1"/>
  <c r="AF169" i="1"/>
  <c r="AG169" i="1"/>
  <c r="AH169" i="1"/>
  <c r="AJ169" i="1"/>
  <c r="AK169" i="1"/>
  <c r="AO169" i="1"/>
  <c r="AP169" i="1"/>
  <c r="J169" i="1" s="1"/>
  <c r="AX169" i="1"/>
  <c r="BD169" i="1"/>
  <c r="BF169" i="1"/>
  <c r="BI169" i="1"/>
  <c r="AE169" i="1" s="1"/>
  <c r="BJ169" i="1"/>
  <c r="J172" i="1"/>
  <c r="K172" i="1"/>
  <c r="Z172" i="1"/>
  <c r="AB172" i="1"/>
  <c r="AC172" i="1"/>
  <c r="AD172" i="1"/>
  <c r="AE172" i="1"/>
  <c r="AF172" i="1"/>
  <c r="AG172" i="1"/>
  <c r="AH172" i="1"/>
  <c r="AJ172" i="1"/>
  <c r="AK172" i="1"/>
  <c r="AL172" i="1"/>
  <c r="AO172" i="1"/>
  <c r="I172" i="1" s="1"/>
  <c r="AP172" i="1"/>
  <c r="AW172" i="1"/>
  <c r="AX172" i="1"/>
  <c r="BD172" i="1"/>
  <c r="BF172" i="1"/>
  <c r="BH172" i="1"/>
  <c r="BI172" i="1"/>
  <c r="BJ172" i="1"/>
  <c r="AT174" i="1"/>
  <c r="K175" i="1"/>
  <c r="Z175" i="1"/>
  <c r="AB175" i="1"/>
  <c r="AC175" i="1"/>
  <c r="AD175" i="1"/>
  <c r="AF175" i="1"/>
  <c r="AG175" i="1"/>
  <c r="AH175" i="1"/>
  <c r="AJ175" i="1"/>
  <c r="AS174" i="1" s="1"/>
  <c r="AK175" i="1"/>
  <c r="AO175" i="1"/>
  <c r="BH175" i="1" s="1"/>
  <c r="AP175" i="1"/>
  <c r="J175" i="1" s="1"/>
  <c r="J174" i="1" s="1"/>
  <c r="AX175" i="1"/>
  <c r="BD175" i="1"/>
  <c r="BF175" i="1"/>
  <c r="BI175" i="1"/>
  <c r="AE175" i="1" s="1"/>
  <c r="BJ175" i="1"/>
  <c r="I178" i="1"/>
  <c r="K178" i="1"/>
  <c r="Z178" i="1"/>
  <c r="AB178" i="1"/>
  <c r="AC178" i="1"/>
  <c r="AF178" i="1"/>
  <c r="AG178" i="1"/>
  <c r="AH178" i="1"/>
  <c r="AJ178" i="1"/>
  <c r="AK178" i="1"/>
  <c r="AT177" i="1" s="1"/>
  <c r="AL178" i="1"/>
  <c r="AO178" i="1"/>
  <c r="AP178" i="1"/>
  <c r="AW178" i="1"/>
  <c r="BD178" i="1"/>
  <c r="BF178" i="1"/>
  <c r="BH178" i="1"/>
  <c r="AD178" i="1" s="1"/>
  <c r="BJ178" i="1"/>
  <c r="K180" i="1"/>
  <c r="Z180" i="1"/>
  <c r="AB180" i="1"/>
  <c r="AC180" i="1"/>
  <c r="AF180" i="1"/>
  <c r="AG180" i="1"/>
  <c r="AH180" i="1"/>
  <c r="AJ180" i="1"/>
  <c r="AK180" i="1"/>
  <c r="AO180" i="1"/>
  <c r="AP180" i="1"/>
  <c r="J180" i="1" s="1"/>
  <c r="AX180" i="1"/>
  <c r="BD180" i="1"/>
  <c r="BF180" i="1"/>
  <c r="BH180" i="1"/>
  <c r="AD180" i="1" s="1"/>
  <c r="BI180" i="1"/>
  <c r="AE180" i="1" s="1"/>
  <c r="BJ180" i="1"/>
  <c r="J184" i="1"/>
  <c r="K184" i="1"/>
  <c r="Z184" i="1"/>
  <c r="AB184" i="1"/>
  <c r="AC184" i="1"/>
  <c r="AF184" i="1"/>
  <c r="AG184" i="1"/>
  <c r="AH184" i="1"/>
  <c r="AJ184" i="1"/>
  <c r="AK184" i="1"/>
  <c r="AL184" i="1"/>
  <c r="AO184" i="1"/>
  <c r="I184" i="1" s="1"/>
  <c r="AP184" i="1"/>
  <c r="AW184" i="1"/>
  <c r="AX184" i="1"/>
  <c r="BD184" i="1"/>
  <c r="BF184" i="1"/>
  <c r="BH184" i="1"/>
  <c r="AD184" i="1" s="1"/>
  <c r="BI184" i="1"/>
  <c r="AE184" i="1" s="1"/>
  <c r="BJ184" i="1"/>
  <c r="I186" i="1"/>
  <c r="J186" i="1"/>
  <c r="K186" i="1"/>
  <c r="Z186" i="1"/>
  <c r="AB186" i="1"/>
  <c r="AC186" i="1"/>
  <c r="AF186" i="1"/>
  <c r="AG186" i="1"/>
  <c r="AH186" i="1"/>
  <c r="AJ186" i="1"/>
  <c r="AK186" i="1"/>
  <c r="AL186" i="1"/>
  <c r="AO186" i="1"/>
  <c r="AP186" i="1"/>
  <c r="AV186" i="1"/>
  <c r="AW186" i="1"/>
  <c r="BC186" i="1" s="1"/>
  <c r="AX186" i="1"/>
  <c r="BD186" i="1"/>
  <c r="BF186" i="1"/>
  <c r="BH186" i="1"/>
  <c r="AD186" i="1" s="1"/>
  <c r="BI186" i="1"/>
  <c r="AE186" i="1" s="1"/>
  <c r="BJ186" i="1"/>
  <c r="I190" i="1"/>
  <c r="K190" i="1"/>
  <c r="Z190" i="1"/>
  <c r="AB190" i="1"/>
  <c r="AC190" i="1"/>
  <c r="AF190" i="1"/>
  <c r="AG190" i="1"/>
  <c r="AH190" i="1"/>
  <c r="AJ190" i="1"/>
  <c r="AK190" i="1"/>
  <c r="AL190" i="1"/>
  <c r="AO190" i="1"/>
  <c r="AP190" i="1"/>
  <c r="AW190" i="1"/>
  <c r="BD190" i="1"/>
  <c r="BF190" i="1"/>
  <c r="BH190" i="1"/>
  <c r="AD190" i="1" s="1"/>
  <c r="BI190" i="1"/>
  <c r="AE190" i="1" s="1"/>
  <c r="BJ190" i="1"/>
  <c r="K192" i="1"/>
  <c r="AL192" i="1" s="1"/>
  <c r="Z192" i="1"/>
  <c r="AB192" i="1"/>
  <c r="AC192" i="1"/>
  <c r="AF192" i="1"/>
  <c r="AG192" i="1"/>
  <c r="AH192" i="1"/>
  <c r="AJ192" i="1"/>
  <c r="AK192" i="1"/>
  <c r="AO192" i="1"/>
  <c r="AP192" i="1"/>
  <c r="J192" i="1" s="1"/>
  <c r="AX192" i="1"/>
  <c r="BD192" i="1"/>
  <c r="BF192" i="1"/>
  <c r="BI192" i="1"/>
  <c r="AE192" i="1" s="1"/>
  <c r="BJ192" i="1"/>
  <c r="J194" i="1"/>
  <c r="K194" i="1"/>
  <c r="Z194" i="1"/>
  <c r="AB194" i="1"/>
  <c r="AC194" i="1"/>
  <c r="AF194" i="1"/>
  <c r="AG194" i="1"/>
  <c r="AH194" i="1"/>
  <c r="AJ194" i="1"/>
  <c r="AK194" i="1"/>
  <c r="AL194" i="1"/>
  <c r="AO194" i="1"/>
  <c r="I194" i="1" s="1"/>
  <c r="AP194" i="1"/>
  <c r="AW194" i="1"/>
  <c r="AX194" i="1"/>
  <c r="BD194" i="1"/>
  <c r="BF194" i="1"/>
  <c r="BH194" i="1"/>
  <c r="AD194" i="1" s="1"/>
  <c r="BI194" i="1"/>
  <c r="AE194" i="1" s="1"/>
  <c r="BJ194" i="1"/>
  <c r="I196" i="1"/>
  <c r="J196" i="1"/>
  <c r="K196" i="1"/>
  <c r="AB196" i="1"/>
  <c r="AC196" i="1"/>
  <c r="AD196" i="1"/>
  <c r="AE196" i="1"/>
  <c r="AF196" i="1"/>
  <c r="AG196" i="1"/>
  <c r="AH196" i="1"/>
  <c r="AJ196" i="1"/>
  <c r="AK196" i="1"/>
  <c r="AL196" i="1"/>
  <c r="AO196" i="1"/>
  <c r="AP196" i="1"/>
  <c r="AV196" i="1"/>
  <c r="AW196" i="1"/>
  <c r="BC196" i="1" s="1"/>
  <c r="AX196" i="1"/>
  <c r="BD196" i="1"/>
  <c r="BF196" i="1"/>
  <c r="BH196" i="1"/>
  <c r="BI196" i="1"/>
  <c r="BJ196" i="1"/>
  <c r="Z196" i="1" s="1"/>
  <c r="J199" i="1"/>
  <c r="K199" i="1"/>
  <c r="K198" i="1" s="1"/>
  <c r="Z199" i="1"/>
  <c r="AB199" i="1"/>
  <c r="AC199" i="1"/>
  <c r="AF199" i="1"/>
  <c r="AG199" i="1"/>
  <c r="AH199" i="1"/>
  <c r="AJ199" i="1"/>
  <c r="AK199" i="1"/>
  <c r="AL199" i="1"/>
  <c r="AU198" i="1" s="1"/>
  <c r="AO199" i="1"/>
  <c r="I199" i="1" s="1"/>
  <c r="AP199" i="1"/>
  <c r="AW199" i="1"/>
  <c r="AX199" i="1"/>
  <c r="BD199" i="1"/>
  <c r="BF199" i="1"/>
  <c r="BH199" i="1"/>
  <c r="AD199" i="1" s="1"/>
  <c r="BI199" i="1"/>
  <c r="AE199" i="1" s="1"/>
  <c r="BJ199" i="1"/>
  <c r="I201" i="1"/>
  <c r="J201" i="1"/>
  <c r="K201" i="1"/>
  <c r="Z201" i="1"/>
  <c r="AB201" i="1"/>
  <c r="AC201" i="1"/>
  <c r="AF201" i="1"/>
  <c r="AG201" i="1"/>
  <c r="AH201" i="1"/>
  <c r="AJ201" i="1"/>
  <c r="AK201" i="1"/>
  <c r="AT198" i="1" s="1"/>
  <c r="AL201" i="1"/>
  <c r="AO201" i="1"/>
  <c r="AP201" i="1"/>
  <c r="AV201" i="1"/>
  <c r="AW201" i="1"/>
  <c r="BC201" i="1" s="1"/>
  <c r="AX201" i="1"/>
  <c r="BD201" i="1"/>
  <c r="BF201" i="1"/>
  <c r="BH201" i="1"/>
  <c r="AD201" i="1" s="1"/>
  <c r="BI201" i="1"/>
  <c r="AE201" i="1" s="1"/>
  <c r="BJ201" i="1"/>
  <c r="I203" i="1"/>
  <c r="K203" i="1"/>
  <c r="Z203" i="1"/>
  <c r="AB203" i="1"/>
  <c r="AC203" i="1"/>
  <c r="AD203" i="1"/>
  <c r="AE203" i="1"/>
  <c r="AF203" i="1"/>
  <c r="AG203" i="1"/>
  <c r="AH203" i="1"/>
  <c r="AJ203" i="1"/>
  <c r="AS198" i="1" s="1"/>
  <c r="AK203" i="1"/>
  <c r="AL203" i="1"/>
  <c r="AO203" i="1"/>
  <c r="AP203" i="1"/>
  <c r="AW203" i="1"/>
  <c r="BD203" i="1"/>
  <c r="BF203" i="1"/>
  <c r="BH203" i="1"/>
  <c r="BJ203" i="1"/>
  <c r="I206" i="1"/>
  <c r="J206" i="1"/>
  <c r="K206" i="1"/>
  <c r="Z206" i="1"/>
  <c r="AB206" i="1"/>
  <c r="AC206" i="1"/>
  <c r="AF206" i="1"/>
  <c r="AG206" i="1"/>
  <c r="AH206" i="1"/>
  <c r="AJ206" i="1"/>
  <c r="AK206" i="1"/>
  <c r="AL206" i="1"/>
  <c r="AO206" i="1"/>
  <c r="AP206" i="1"/>
  <c r="AW206" i="1"/>
  <c r="BC206" i="1" s="1"/>
  <c r="AX206" i="1"/>
  <c r="BD206" i="1"/>
  <c r="BF206" i="1"/>
  <c r="BH206" i="1"/>
  <c r="AD206" i="1" s="1"/>
  <c r="BI206" i="1"/>
  <c r="AE206" i="1" s="1"/>
  <c r="BJ206" i="1"/>
  <c r="I213" i="1"/>
  <c r="K213" i="1"/>
  <c r="Z213" i="1"/>
  <c r="AB213" i="1"/>
  <c r="AC213" i="1"/>
  <c r="AF213" i="1"/>
  <c r="AG213" i="1"/>
  <c r="AH213" i="1"/>
  <c r="AJ213" i="1"/>
  <c r="AK213" i="1"/>
  <c r="AL213" i="1"/>
  <c r="AO213" i="1"/>
  <c r="AP213" i="1"/>
  <c r="BI213" i="1" s="1"/>
  <c r="AE213" i="1" s="1"/>
  <c r="AW213" i="1"/>
  <c r="BD213" i="1"/>
  <c r="BF213" i="1"/>
  <c r="BH213" i="1"/>
  <c r="AD213" i="1" s="1"/>
  <c r="BJ213" i="1"/>
  <c r="K215" i="1"/>
  <c r="AL215" i="1" s="1"/>
  <c r="Z215" i="1"/>
  <c r="AB215" i="1"/>
  <c r="AC215" i="1"/>
  <c r="AE215" i="1"/>
  <c r="AF215" i="1"/>
  <c r="AG215" i="1"/>
  <c r="AH215" i="1"/>
  <c r="AJ215" i="1"/>
  <c r="AK215" i="1"/>
  <c r="AO215" i="1"/>
  <c r="AP215" i="1"/>
  <c r="J215" i="1" s="1"/>
  <c r="AX215" i="1"/>
  <c r="BD215" i="1"/>
  <c r="BF215" i="1"/>
  <c r="BH215" i="1"/>
  <c r="AD215" i="1" s="1"/>
  <c r="BI215" i="1"/>
  <c r="BJ215" i="1"/>
  <c r="J217" i="1"/>
  <c r="K217" i="1"/>
  <c r="AL217" i="1" s="1"/>
  <c r="Z217" i="1"/>
  <c r="AB217" i="1"/>
  <c r="AC217" i="1"/>
  <c r="AD217" i="1"/>
  <c r="AF217" i="1"/>
  <c r="AG217" i="1"/>
  <c r="AH217" i="1"/>
  <c r="AJ217" i="1"/>
  <c r="AK217" i="1"/>
  <c r="AO217" i="1"/>
  <c r="I217" i="1" s="1"/>
  <c r="AP217" i="1"/>
  <c r="AW217" i="1"/>
  <c r="AX217" i="1"/>
  <c r="BD217" i="1"/>
  <c r="BF217" i="1"/>
  <c r="BH217" i="1"/>
  <c r="BI217" i="1"/>
  <c r="AE217" i="1" s="1"/>
  <c r="BJ217" i="1"/>
  <c r="I224" i="1"/>
  <c r="J224" i="1"/>
  <c r="K224" i="1"/>
  <c r="Z224" i="1"/>
  <c r="AB224" i="1"/>
  <c r="AC224" i="1"/>
  <c r="AF224" i="1"/>
  <c r="AG224" i="1"/>
  <c r="AH224" i="1"/>
  <c r="AJ224" i="1"/>
  <c r="AK224" i="1"/>
  <c r="AL224" i="1"/>
  <c r="AO224" i="1"/>
  <c r="AP224" i="1"/>
  <c r="AV224" i="1"/>
  <c r="AW224" i="1"/>
  <c r="BC224" i="1" s="1"/>
  <c r="AX224" i="1"/>
  <c r="BD224" i="1"/>
  <c r="BF224" i="1"/>
  <c r="BH224" i="1"/>
  <c r="AD224" i="1" s="1"/>
  <c r="BI224" i="1"/>
  <c r="AE224" i="1" s="1"/>
  <c r="BJ224" i="1"/>
  <c r="I226" i="1"/>
  <c r="K226" i="1"/>
  <c r="AB226" i="1"/>
  <c r="AC226" i="1"/>
  <c r="AD226" i="1"/>
  <c r="AE226" i="1"/>
  <c r="AF226" i="1"/>
  <c r="AG226" i="1"/>
  <c r="AH226" i="1"/>
  <c r="AJ226" i="1"/>
  <c r="AK226" i="1"/>
  <c r="AL226" i="1"/>
  <c r="AO226" i="1"/>
  <c r="AP226" i="1"/>
  <c r="AW226" i="1"/>
  <c r="BD226" i="1"/>
  <c r="BF226" i="1"/>
  <c r="BH226" i="1"/>
  <c r="BJ226" i="1"/>
  <c r="Z226" i="1" s="1"/>
  <c r="I229" i="1"/>
  <c r="J229" i="1"/>
  <c r="K229" i="1"/>
  <c r="Z229" i="1"/>
  <c r="AB229" i="1"/>
  <c r="AC229" i="1"/>
  <c r="AF229" i="1"/>
  <c r="AG229" i="1"/>
  <c r="AH229" i="1"/>
  <c r="AJ229" i="1"/>
  <c r="AK229" i="1"/>
  <c r="AL229" i="1"/>
  <c r="AO229" i="1"/>
  <c r="AP229" i="1"/>
  <c r="AW229" i="1"/>
  <c r="AX229" i="1"/>
  <c r="BD229" i="1"/>
  <c r="BF229" i="1"/>
  <c r="BH229" i="1"/>
  <c r="AD229" i="1" s="1"/>
  <c r="BI229" i="1"/>
  <c r="AE229" i="1" s="1"/>
  <c r="BJ229" i="1"/>
  <c r="I241" i="1"/>
  <c r="K241" i="1"/>
  <c r="Z241" i="1"/>
  <c r="AB241" i="1"/>
  <c r="AC241" i="1"/>
  <c r="AF241" i="1"/>
  <c r="AG241" i="1"/>
  <c r="AH241" i="1"/>
  <c r="AJ241" i="1"/>
  <c r="AS228" i="1" s="1"/>
  <c r="AK241" i="1"/>
  <c r="AL241" i="1"/>
  <c r="AO241" i="1"/>
  <c r="AP241" i="1"/>
  <c r="AW241" i="1"/>
  <c r="BD241" i="1"/>
  <c r="BF241" i="1"/>
  <c r="BH241" i="1"/>
  <c r="AD241" i="1" s="1"/>
  <c r="BJ241" i="1"/>
  <c r="K243" i="1"/>
  <c r="AL243" i="1" s="1"/>
  <c r="Z243" i="1"/>
  <c r="AB243" i="1"/>
  <c r="AC243" i="1"/>
  <c r="AE243" i="1"/>
  <c r="AF243" i="1"/>
  <c r="AG243" i="1"/>
  <c r="AH243" i="1"/>
  <c r="AJ243" i="1"/>
  <c r="AK243" i="1"/>
  <c r="AO243" i="1"/>
  <c r="AP243" i="1"/>
  <c r="J243" i="1" s="1"/>
  <c r="AX243" i="1"/>
  <c r="BD243" i="1"/>
  <c r="BF243" i="1"/>
  <c r="BI243" i="1"/>
  <c r="BJ243" i="1"/>
  <c r="J245" i="1"/>
  <c r="K245" i="1"/>
  <c r="Z245" i="1"/>
  <c r="AB245" i="1"/>
  <c r="AC245" i="1"/>
  <c r="AF245" i="1"/>
  <c r="AG245" i="1"/>
  <c r="AH245" i="1"/>
  <c r="AJ245" i="1"/>
  <c r="AK245" i="1"/>
  <c r="AL245" i="1"/>
  <c r="AO245" i="1"/>
  <c r="I245" i="1" s="1"/>
  <c r="AP245" i="1"/>
  <c r="AX245" i="1"/>
  <c r="BD245" i="1"/>
  <c r="BF245" i="1"/>
  <c r="BI245" i="1"/>
  <c r="AE245" i="1" s="1"/>
  <c r="BJ245" i="1"/>
  <c r="I247" i="1"/>
  <c r="J247" i="1"/>
  <c r="K247" i="1"/>
  <c r="Z247" i="1"/>
  <c r="AB247" i="1"/>
  <c r="AC247" i="1"/>
  <c r="AF247" i="1"/>
  <c r="AG247" i="1"/>
  <c r="AH247" i="1"/>
  <c r="AJ247" i="1"/>
  <c r="AK247" i="1"/>
  <c r="AL247" i="1"/>
  <c r="AO247" i="1"/>
  <c r="AP247" i="1"/>
  <c r="AV247" i="1"/>
  <c r="AW247" i="1"/>
  <c r="BC247" i="1" s="1"/>
  <c r="AX247" i="1"/>
  <c r="BD247" i="1"/>
  <c r="BF247" i="1"/>
  <c r="BH247" i="1"/>
  <c r="AD247" i="1" s="1"/>
  <c r="BI247" i="1"/>
  <c r="AE247" i="1" s="1"/>
  <c r="BJ247" i="1"/>
  <c r="I249" i="1"/>
  <c r="K249" i="1"/>
  <c r="Z249" i="1"/>
  <c r="AB249" i="1"/>
  <c r="AC249" i="1"/>
  <c r="AF249" i="1"/>
  <c r="AG249" i="1"/>
  <c r="AH249" i="1"/>
  <c r="AJ249" i="1"/>
  <c r="AK249" i="1"/>
  <c r="AL249" i="1"/>
  <c r="AO249" i="1"/>
  <c r="AP249" i="1"/>
  <c r="AW249" i="1"/>
  <c r="BD249" i="1"/>
  <c r="BF249" i="1"/>
  <c r="BH249" i="1"/>
  <c r="AD249" i="1" s="1"/>
  <c r="BI249" i="1"/>
  <c r="AE249" i="1" s="1"/>
  <c r="BJ249" i="1"/>
  <c r="K251" i="1"/>
  <c r="AL251" i="1" s="1"/>
  <c r="Z251" i="1"/>
  <c r="AB251" i="1"/>
  <c r="AC251" i="1"/>
  <c r="AF251" i="1"/>
  <c r="AG251" i="1"/>
  <c r="AH251" i="1"/>
  <c r="AJ251" i="1"/>
  <c r="AK251" i="1"/>
  <c r="AO251" i="1"/>
  <c r="AP251" i="1"/>
  <c r="AX251" i="1" s="1"/>
  <c r="BD251" i="1"/>
  <c r="BF251" i="1"/>
  <c r="BH251" i="1"/>
  <c r="AD251" i="1" s="1"/>
  <c r="BJ251" i="1"/>
  <c r="K253" i="1"/>
  <c r="AL253" i="1" s="1"/>
  <c r="Z253" i="1"/>
  <c r="AB253" i="1"/>
  <c r="AC253" i="1"/>
  <c r="AF253" i="1"/>
  <c r="AG253" i="1"/>
  <c r="AH253" i="1"/>
  <c r="AJ253" i="1"/>
  <c r="AK253" i="1"/>
  <c r="AO253" i="1"/>
  <c r="AP253" i="1"/>
  <c r="J253" i="1" s="1"/>
  <c r="AW253" i="1"/>
  <c r="BD253" i="1"/>
  <c r="BF253" i="1"/>
  <c r="BI253" i="1"/>
  <c r="AE253" i="1" s="1"/>
  <c r="BJ253" i="1"/>
  <c r="I255" i="1"/>
  <c r="J255" i="1"/>
  <c r="K255" i="1"/>
  <c r="AL255" i="1" s="1"/>
  <c r="Z255" i="1"/>
  <c r="AB255" i="1"/>
  <c r="AC255" i="1"/>
  <c r="AF255" i="1"/>
  <c r="AG255" i="1"/>
  <c r="AH255" i="1"/>
  <c r="AJ255" i="1"/>
  <c r="AK255" i="1"/>
  <c r="AO255" i="1"/>
  <c r="AP255" i="1"/>
  <c r="AW255" i="1"/>
  <c r="AX255" i="1"/>
  <c r="BD255" i="1"/>
  <c r="BF255" i="1"/>
  <c r="BH255" i="1"/>
  <c r="AD255" i="1" s="1"/>
  <c r="BI255" i="1"/>
  <c r="AE255" i="1" s="1"/>
  <c r="BJ255" i="1"/>
  <c r="J257" i="1"/>
  <c r="K257" i="1"/>
  <c r="Z257" i="1"/>
  <c r="AB257" i="1"/>
  <c r="AC257" i="1"/>
  <c r="AF257" i="1"/>
  <c r="AG257" i="1"/>
  <c r="AH257" i="1"/>
  <c r="AJ257" i="1"/>
  <c r="AK257" i="1"/>
  <c r="AL257" i="1"/>
  <c r="AO257" i="1"/>
  <c r="AP257" i="1"/>
  <c r="AX257" i="1"/>
  <c r="BD257" i="1"/>
  <c r="BF257" i="1"/>
  <c r="BH257" i="1"/>
  <c r="AD257" i="1" s="1"/>
  <c r="BI257" i="1"/>
  <c r="AE257" i="1" s="1"/>
  <c r="BJ257" i="1"/>
  <c r="K259" i="1"/>
  <c r="Z259" i="1"/>
  <c r="AB259" i="1"/>
  <c r="AC259" i="1"/>
  <c r="AF259" i="1"/>
  <c r="AG259" i="1"/>
  <c r="AH259" i="1"/>
  <c r="AJ259" i="1"/>
  <c r="AK259" i="1"/>
  <c r="AL259" i="1"/>
  <c r="AO259" i="1"/>
  <c r="I259" i="1" s="1"/>
  <c r="AP259" i="1"/>
  <c r="AX259" i="1" s="1"/>
  <c r="AW259" i="1"/>
  <c r="BC259" i="1" s="1"/>
  <c r="BD259" i="1"/>
  <c r="BF259" i="1"/>
  <c r="BH259" i="1"/>
  <c r="AD259" i="1" s="1"/>
  <c r="BJ259" i="1"/>
  <c r="I261" i="1"/>
  <c r="K261" i="1"/>
  <c r="AL261" i="1" s="1"/>
  <c r="Z261" i="1"/>
  <c r="AB261" i="1"/>
  <c r="AC261" i="1"/>
  <c r="AF261" i="1"/>
  <c r="AG261" i="1"/>
  <c r="AH261" i="1"/>
  <c r="AJ261" i="1"/>
  <c r="AK261" i="1"/>
  <c r="AO261" i="1"/>
  <c r="AW261" i="1" s="1"/>
  <c r="BC261" i="1" s="1"/>
  <c r="AP261" i="1"/>
  <c r="J261" i="1" s="1"/>
  <c r="AX261" i="1"/>
  <c r="BD261" i="1"/>
  <c r="BF261" i="1"/>
  <c r="BI261" i="1"/>
  <c r="AE261" i="1" s="1"/>
  <c r="BJ261" i="1"/>
  <c r="J263" i="1"/>
  <c r="K263" i="1"/>
  <c r="Z263" i="1"/>
  <c r="AB263" i="1"/>
  <c r="AC263" i="1"/>
  <c r="AD263" i="1"/>
  <c r="AE263" i="1"/>
  <c r="AF263" i="1"/>
  <c r="AG263" i="1"/>
  <c r="AH263" i="1"/>
  <c r="AJ263" i="1"/>
  <c r="AK263" i="1"/>
  <c r="AL263" i="1"/>
  <c r="AO263" i="1"/>
  <c r="I263" i="1" s="1"/>
  <c r="AP263" i="1"/>
  <c r="AX263" i="1" s="1"/>
  <c r="AW263" i="1"/>
  <c r="AV263" i="1" s="1"/>
  <c r="BC263" i="1"/>
  <c r="BD263" i="1"/>
  <c r="BF263" i="1"/>
  <c r="BH263" i="1"/>
  <c r="BI263" i="1"/>
  <c r="BJ263" i="1"/>
  <c r="K266" i="1"/>
  <c r="AL266" i="1" s="1"/>
  <c r="Z266" i="1"/>
  <c r="AB266" i="1"/>
  <c r="AC266" i="1"/>
  <c r="AF266" i="1"/>
  <c r="AG266" i="1"/>
  <c r="AH266" i="1"/>
  <c r="AJ266" i="1"/>
  <c r="AK266" i="1"/>
  <c r="AO266" i="1"/>
  <c r="AW266" i="1" s="1"/>
  <c r="BC266" i="1" s="1"/>
  <c r="AP266" i="1"/>
  <c r="J266" i="1" s="1"/>
  <c r="AX266" i="1"/>
  <c r="BD266" i="1"/>
  <c r="BF266" i="1"/>
  <c r="BI266" i="1"/>
  <c r="AE266" i="1" s="1"/>
  <c r="BJ266" i="1"/>
  <c r="K268" i="1"/>
  <c r="Z268" i="1"/>
  <c r="AB268" i="1"/>
  <c r="AC268" i="1"/>
  <c r="AF268" i="1"/>
  <c r="AG268" i="1"/>
  <c r="AH268" i="1"/>
  <c r="AJ268" i="1"/>
  <c r="AK268" i="1"/>
  <c r="AL268" i="1"/>
  <c r="AO268" i="1"/>
  <c r="I268" i="1" s="1"/>
  <c r="AP268" i="1"/>
  <c r="AX268" i="1" s="1"/>
  <c r="AW268" i="1"/>
  <c r="AV268" i="1" s="1"/>
  <c r="BC268" i="1"/>
  <c r="BD268" i="1"/>
  <c r="BF268" i="1"/>
  <c r="BH268" i="1"/>
  <c r="AD268" i="1" s="1"/>
  <c r="BI268" i="1"/>
  <c r="AE268" i="1" s="1"/>
  <c r="BJ268" i="1"/>
  <c r="I271" i="1"/>
  <c r="K271" i="1"/>
  <c r="AL271" i="1" s="1"/>
  <c r="Z271" i="1"/>
  <c r="AB271" i="1"/>
  <c r="AC271" i="1"/>
  <c r="AF271" i="1"/>
  <c r="AG271" i="1"/>
  <c r="AH271" i="1"/>
  <c r="AJ271" i="1"/>
  <c r="AK271" i="1"/>
  <c r="AT265" i="1" s="1"/>
  <c r="AO271" i="1"/>
  <c r="AW271" i="1" s="1"/>
  <c r="AP271" i="1"/>
  <c r="J271" i="1" s="1"/>
  <c r="AX271" i="1"/>
  <c r="AV271" i="1" s="1"/>
  <c r="BD271" i="1"/>
  <c r="BF271" i="1"/>
  <c r="BH271" i="1"/>
  <c r="AD271" i="1" s="1"/>
  <c r="BI271" i="1"/>
  <c r="AE271" i="1" s="1"/>
  <c r="BJ271" i="1"/>
  <c r="I273" i="1"/>
  <c r="K273" i="1"/>
  <c r="Z273" i="1"/>
  <c r="AB273" i="1"/>
  <c r="AC273" i="1"/>
  <c r="AF273" i="1"/>
  <c r="AG273" i="1"/>
  <c r="AH273" i="1"/>
  <c r="AJ273" i="1"/>
  <c r="AK273" i="1"/>
  <c r="AL273" i="1"/>
  <c r="AO273" i="1"/>
  <c r="AP273" i="1"/>
  <c r="AX273" i="1" s="1"/>
  <c r="BC273" i="1" s="1"/>
  <c r="AW273" i="1"/>
  <c r="BD273" i="1"/>
  <c r="BF273" i="1"/>
  <c r="BH273" i="1"/>
  <c r="AD273" i="1" s="1"/>
  <c r="BJ273" i="1"/>
  <c r="I275" i="1"/>
  <c r="K275" i="1"/>
  <c r="AL275" i="1" s="1"/>
  <c r="Z275" i="1"/>
  <c r="AB275" i="1"/>
  <c r="AC275" i="1"/>
  <c r="AF275" i="1"/>
  <c r="AG275" i="1"/>
  <c r="AH275" i="1"/>
  <c r="AJ275" i="1"/>
  <c r="AK275" i="1"/>
  <c r="AO275" i="1"/>
  <c r="AW275" i="1" s="1"/>
  <c r="BC275" i="1" s="1"/>
  <c r="AP275" i="1"/>
  <c r="J275" i="1" s="1"/>
  <c r="AX275" i="1"/>
  <c r="BD275" i="1"/>
  <c r="BF275" i="1"/>
  <c r="BI275" i="1"/>
  <c r="AE275" i="1" s="1"/>
  <c r="BJ275" i="1"/>
  <c r="J277" i="1"/>
  <c r="K277" i="1"/>
  <c r="Z277" i="1"/>
  <c r="AB277" i="1"/>
  <c r="AC277" i="1"/>
  <c r="AD277" i="1"/>
  <c r="AE277" i="1"/>
  <c r="AF277" i="1"/>
  <c r="AG277" i="1"/>
  <c r="AH277" i="1"/>
  <c r="AJ277" i="1"/>
  <c r="AK277" i="1"/>
  <c r="AL277" i="1"/>
  <c r="AO277" i="1"/>
  <c r="I277" i="1" s="1"/>
  <c r="AP277" i="1"/>
  <c r="AX277" i="1" s="1"/>
  <c r="AW277" i="1"/>
  <c r="AV277" i="1" s="1"/>
  <c r="BC277" i="1"/>
  <c r="BD277" i="1"/>
  <c r="BF277" i="1"/>
  <c r="BH277" i="1"/>
  <c r="BI277" i="1"/>
  <c r="BJ277" i="1"/>
  <c r="K279" i="1"/>
  <c r="AT279" i="1"/>
  <c r="K280" i="1"/>
  <c r="AL280" i="1" s="1"/>
  <c r="AU279" i="1" s="1"/>
  <c r="Z280" i="1"/>
  <c r="AB280" i="1"/>
  <c r="AC280" i="1"/>
  <c r="AF280" i="1"/>
  <c r="AG280" i="1"/>
  <c r="AH280" i="1"/>
  <c r="AJ280" i="1"/>
  <c r="AS279" i="1" s="1"/>
  <c r="AK280" i="1"/>
  <c r="AO280" i="1"/>
  <c r="AW280" i="1" s="1"/>
  <c r="BC280" i="1" s="1"/>
  <c r="AP280" i="1"/>
  <c r="J280" i="1" s="1"/>
  <c r="J279" i="1" s="1"/>
  <c r="AX280" i="1"/>
  <c r="BD280" i="1"/>
  <c r="BF280" i="1"/>
  <c r="BI280" i="1"/>
  <c r="AE280" i="1" s="1"/>
  <c r="BJ280" i="1"/>
  <c r="I283" i="1"/>
  <c r="K283" i="1"/>
  <c r="Z283" i="1"/>
  <c r="AB283" i="1"/>
  <c r="AD283" i="1"/>
  <c r="AE283" i="1"/>
  <c r="AF283" i="1"/>
  <c r="AG283" i="1"/>
  <c r="AH283" i="1"/>
  <c r="AJ283" i="1"/>
  <c r="AS282" i="1" s="1"/>
  <c r="AK283" i="1"/>
  <c r="AL283" i="1"/>
  <c r="AO283" i="1"/>
  <c r="AP283" i="1"/>
  <c r="AX283" i="1" s="1"/>
  <c r="AW283" i="1"/>
  <c r="AV283" i="1" s="1"/>
  <c r="BD283" i="1"/>
  <c r="BF283" i="1"/>
  <c r="BH283" i="1"/>
  <c r="BJ283" i="1"/>
  <c r="I288" i="1"/>
  <c r="K288" i="1"/>
  <c r="Z288" i="1"/>
  <c r="AD288" i="1"/>
  <c r="AE288" i="1"/>
  <c r="AF288" i="1"/>
  <c r="AG288" i="1"/>
  <c r="AH288" i="1"/>
  <c r="AJ288" i="1"/>
  <c r="AK288" i="1"/>
  <c r="AO288" i="1"/>
  <c r="AW288" i="1" s="1"/>
  <c r="BC288" i="1" s="1"/>
  <c r="AP288" i="1"/>
  <c r="J288" i="1" s="1"/>
  <c r="AV288" i="1"/>
  <c r="AX288" i="1"/>
  <c r="BD288" i="1"/>
  <c r="BF288" i="1"/>
  <c r="BH288" i="1"/>
  <c r="AB288" i="1" s="1"/>
  <c r="BI288" i="1"/>
  <c r="AC288" i="1" s="1"/>
  <c r="BJ288" i="1"/>
  <c r="K290" i="1"/>
  <c r="Z290" i="1"/>
  <c r="AD290" i="1"/>
  <c r="AE290" i="1"/>
  <c r="AF290" i="1"/>
  <c r="AG290" i="1"/>
  <c r="AH290" i="1"/>
  <c r="AJ290" i="1"/>
  <c r="AK290" i="1"/>
  <c r="AL290" i="1"/>
  <c r="AO290" i="1"/>
  <c r="I290" i="1" s="1"/>
  <c r="AP290" i="1"/>
  <c r="AX290" i="1" s="1"/>
  <c r="BC290" i="1" s="1"/>
  <c r="AW290" i="1"/>
  <c r="BD290" i="1"/>
  <c r="BF290" i="1"/>
  <c r="BH290" i="1"/>
  <c r="AB290" i="1" s="1"/>
  <c r="BJ290" i="1"/>
  <c r="I292" i="1"/>
  <c r="J292" i="1"/>
  <c r="K292" i="1"/>
  <c r="AL292" i="1" s="1"/>
  <c r="Z292" i="1"/>
  <c r="AB292" i="1"/>
  <c r="AC292" i="1"/>
  <c r="AD292" i="1"/>
  <c r="AE292" i="1"/>
  <c r="AF292" i="1"/>
  <c r="AG292" i="1"/>
  <c r="AH292" i="1"/>
  <c r="AJ292" i="1"/>
  <c r="AK292" i="1"/>
  <c r="AO292" i="1"/>
  <c r="AW292" i="1" s="1"/>
  <c r="AP292" i="1"/>
  <c r="AX292" i="1"/>
  <c r="AV292" i="1" s="1"/>
  <c r="BD292" i="1"/>
  <c r="BF292" i="1"/>
  <c r="BH292" i="1"/>
  <c r="BI292" i="1"/>
  <c r="BJ292" i="1"/>
  <c r="I294" i="1"/>
  <c r="J294" i="1"/>
  <c r="K294" i="1"/>
  <c r="Z294" i="1"/>
  <c r="AB294" i="1"/>
  <c r="AD294" i="1"/>
  <c r="AE294" i="1"/>
  <c r="AF294" i="1"/>
  <c r="AG294" i="1"/>
  <c r="AH294" i="1"/>
  <c r="AJ294" i="1"/>
  <c r="AK294" i="1"/>
  <c r="AL294" i="1"/>
  <c r="AO294" i="1"/>
  <c r="AP294" i="1"/>
  <c r="AX294" i="1" s="1"/>
  <c r="AW294" i="1"/>
  <c r="AV294" i="1" s="1"/>
  <c r="BC294" i="1"/>
  <c r="BD294" i="1"/>
  <c r="BF294" i="1"/>
  <c r="BH294" i="1"/>
  <c r="BI294" i="1"/>
  <c r="AC294" i="1" s="1"/>
  <c r="BJ294" i="1"/>
  <c r="K296" i="1"/>
  <c r="AL296" i="1" s="1"/>
  <c r="Z296" i="1"/>
  <c r="AD296" i="1"/>
  <c r="AE296" i="1"/>
  <c r="AF296" i="1"/>
  <c r="AG296" i="1"/>
  <c r="AH296" i="1"/>
  <c r="AJ296" i="1"/>
  <c r="AK296" i="1"/>
  <c r="AO296" i="1"/>
  <c r="AW296" i="1" s="1"/>
  <c r="BC296" i="1" s="1"/>
  <c r="AP296" i="1"/>
  <c r="J296" i="1" s="1"/>
  <c r="AX296" i="1"/>
  <c r="BD296" i="1"/>
  <c r="BF296" i="1"/>
  <c r="BI296" i="1"/>
  <c r="AC296" i="1" s="1"/>
  <c r="BJ296" i="1"/>
  <c r="K298" i="1"/>
  <c r="AL298" i="1" s="1"/>
  <c r="Z298" i="1"/>
  <c r="AB298" i="1"/>
  <c r="AC298" i="1"/>
  <c r="AD298" i="1"/>
  <c r="AE298" i="1"/>
  <c r="AF298" i="1"/>
  <c r="AG298" i="1"/>
  <c r="AH298" i="1"/>
  <c r="AJ298" i="1"/>
  <c r="AK298" i="1"/>
  <c r="AO298" i="1"/>
  <c r="I298" i="1" s="1"/>
  <c r="AP298" i="1"/>
  <c r="J298" i="1" s="1"/>
  <c r="AW298" i="1"/>
  <c r="BD298" i="1"/>
  <c r="BF298" i="1"/>
  <c r="BJ298" i="1"/>
  <c r="K301" i="1"/>
  <c r="AL301" i="1" s="1"/>
  <c r="Z301" i="1"/>
  <c r="AD301" i="1"/>
  <c r="AE301" i="1"/>
  <c r="AF301" i="1"/>
  <c r="AG301" i="1"/>
  <c r="AH301" i="1"/>
  <c r="AJ301" i="1"/>
  <c r="AK301" i="1"/>
  <c r="AT300" i="1" s="1"/>
  <c r="AO301" i="1"/>
  <c r="AW301" i="1" s="1"/>
  <c r="AV301" i="1" s="1"/>
  <c r="AP301" i="1"/>
  <c r="J301" i="1" s="1"/>
  <c r="AX301" i="1"/>
  <c r="BC301" i="1"/>
  <c r="BD301" i="1"/>
  <c r="BF301" i="1"/>
  <c r="BI301" i="1"/>
  <c r="AC301" i="1" s="1"/>
  <c r="BJ301" i="1"/>
  <c r="J303" i="1"/>
  <c r="K303" i="1"/>
  <c r="AL303" i="1" s="1"/>
  <c r="Z303" i="1"/>
  <c r="AC303" i="1"/>
  <c r="AD303" i="1"/>
  <c r="AE303" i="1"/>
  <c r="AF303" i="1"/>
  <c r="AG303" i="1"/>
  <c r="AH303" i="1"/>
  <c r="AJ303" i="1"/>
  <c r="AK303" i="1"/>
  <c r="AO303" i="1"/>
  <c r="I303" i="1" s="1"/>
  <c r="AP303" i="1"/>
  <c r="AX303" i="1"/>
  <c r="BD303" i="1"/>
  <c r="BF303" i="1"/>
  <c r="BH303" i="1"/>
  <c r="AB303" i="1" s="1"/>
  <c r="BI303" i="1"/>
  <c r="BJ303" i="1"/>
  <c r="I305" i="1"/>
  <c r="J305" i="1"/>
  <c r="K305" i="1"/>
  <c r="Z305" i="1"/>
  <c r="AB305" i="1"/>
  <c r="AC305" i="1"/>
  <c r="AD305" i="1"/>
  <c r="AE305" i="1"/>
  <c r="AF305" i="1"/>
  <c r="AG305" i="1"/>
  <c r="AH305" i="1"/>
  <c r="AJ305" i="1"/>
  <c r="AK305" i="1"/>
  <c r="AL305" i="1"/>
  <c r="AO305" i="1"/>
  <c r="AP305" i="1"/>
  <c r="AX305" i="1" s="1"/>
  <c r="AW305" i="1"/>
  <c r="BD305" i="1"/>
  <c r="BF305" i="1"/>
  <c r="BH305" i="1"/>
  <c r="BI305" i="1"/>
  <c r="BJ305" i="1"/>
  <c r="I307" i="1"/>
  <c r="K307" i="1"/>
  <c r="AL307" i="1" s="1"/>
  <c r="Z307" i="1"/>
  <c r="AB307" i="1"/>
  <c r="AD307" i="1"/>
  <c r="AE307" i="1"/>
  <c r="AF307" i="1"/>
  <c r="AG307" i="1"/>
  <c r="AH307" i="1"/>
  <c r="AJ307" i="1"/>
  <c r="AK307" i="1"/>
  <c r="AO307" i="1"/>
  <c r="AW307" i="1" s="1"/>
  <c r="AP307" i="1"/>
  <c r="J307" i="1" s="1"/>
  <c r="BD307" i="1"/>
  <c r="BF307" i="1"/>
  <c r="BH307" i="1"/>
  <c r="BI307" i="1"/>
  <c r="AC307" i="1" s="1"/>
  <c r="BJ307" i="1"/>
  <c r="K312" i="1"/>
  <c r="AL312" i="1" s="1"/>
  <c r="Z312" i="1"/>
  <c r="AD312" i="1"/>
  <c r="AE312" i="1"/>
  <c r="AF312" i="1"/>
  <c r="AG312" i="1"/>
  <c r="AH312" i="1"/>
  <c r="AJ312" i="1"/>
  <c r="AK312" i="1"/>
  <c r="AO312" i="1"/>
  <c r="I312" i="1" s="1"/>
  <c r="AP312" i="1"/>
  <c r="J312" i="1" s="1"/>
  <c r="BD312" i="1"/>
  <c r="BF312" i="1"/>
  <c r="BH312" i="1"/>
  <c r="AB312" i="1" s="1"/>
  <c r="BI312" i="1"/>
  <c r="AC312" i="1" s="1"/>
  <c r="BJ312" i="1"/>
  <c r="I315" i="1"/>
  <c r="K315" i="1"/>
  <c r="AL315" i="1" s="1"/>
  <c r="Z315" i="1"/>
  <c r="AB315" i="1"/>
  <c r="AD315" i="1"/>
  <c r="AE315" i="1"/>
  <c r="AF315" i="1"/>
  <c r="AG315" i="1"/>
  <c r="AH315" i="1"/>
  <c r="AJ315" i="1"/>
  <c r="AS314" i="1" s="1"/>
  <c r="AK315" i="1"/>
  <c r="AT314" i="1" s="1"/>
  <c r="AO315" i="1"/>
  <c r="AW315" i="1" s="1"/>
  <c r="AP315" i="1"/>
  <c r="J315" i="1" s="1"/>
  <c r="BD315" i="1"/>
  <c r="BF315" i="1"/>
  <c r="BH315" i="1"/>
  <c r="BI315" i="1"/>
  <c r="AC315" i="1" s="1"/>
  <c r="BJ315" i="1"/>
  <c r="K317" i="1"/>
  <c r="AL317" i="1" s="1"/>
  <c r="Z317" i="1"/>
  <c r="AD317" i="1"/>
  <c r="AE317" i="1"/>
  <c r="AF317" i="1"/>
  <c r="AG317" i="1"/>
  <c r="AH317" i="1"/>
  <c r="AJ317" i="1"/>
  <c r="AK317" i="1"/>
  <c r="AO317" i="1"/>
  <c r="I317" i="1" s="1"/>
  <c r="AP317" i="1"/>
  <c r="J317" i="1" s="1"/>
  <c r="BD317" i="1"/>
  <c r="BF317" i="1"/>
  <c r="BH317" i="1"/>
  <c r="AB317" i="1" s="1"/>
  <c r="BI317" i="1"/>
  <c r="AC317" i="1" s="1"/>
  <c r="BJ317" i="1"/>
  <c r="J320" i="1"/>
  <c r="K320" i="1"/>
  <c r="AL320" i="1" s="1"/>
  <c r="Z320" i="1"/>
  <c r="AC320" i="1"/>
  <c r="AD320" i="1"/>
  <c r="AE320" i="1"/>
  <c r="AF320" i="1"/>
  <c r="AG320" i="1"/>
  <c r="AH320" i="1"/>
  <c r="AJ320" i="1"/>
  <c r="AK320" i="1"/>
  <c r="AO320" i="1"/>
  <c r="I320" i="1" s="1"/>
  <c r="AP320" i="1"/>
  <c r="AX320" i="1"/>
  <c r="BD320" i="1"/>
  <c r="BF320" i="1"/>
  <c r="BH320" i="1"/>
  <c r="AB320" i="1" s="1"/>
  <c r="BI320" i="1"/>
  <c r="BJ320" i="1"/>
  <c r="I324" i="1"/>
  <c r="J324" i="1"/>
  <c r="K324" i="1"/>
  <c r="Z324" i="1"/>
  <c r="AB324" i="1"/>
  <c r="AC324" i="1"/>
  <c r="AD324" i="1"/>
  <c r="AE324" i="1"/>
  <c r="AF324" i="1"/>
  <c r="AG324" i="1"/>
  <c r="AH324" i="1"/>
  <c r="AJ324" i="1"/>
  <c r="AK324" i="1"/>
  <c r="AL324" i="1"/>
  <c r="AO324" i="1"/>
  <c r="AP324" i="1"/>
  <c r="AX324" i="1" s="1"/>
  <c r="AW324" i="1"/>
  <c r="BC324" i="1" s="1"/>
  <c r="BD324" i="1"/>
  <c r="BF324" i="1"/>
  <c r="BH324" i="1"/>
  <c r="BI324" i="1"/>
  <c r="BJ324" i="1"/>
  <c r="I326" i="1"/>
  <c r="K326" i="1"/>
  <c r="AL326" i="1" s="1"/>
  <c r="Z326" i="1"/>
  <c r="AB326" i="1"/>
  <c r="AD326" i="1"/>
  <c r="AE326" i="1"/>
  <c r="AF326" i="1"/>
  <c r="AG326" i="1"/>
  <c r="AH326" i="1"/>
  <c r="AJ326" i="1"/>
  <c r="AK326" i="1"/>
  <c r="AO326" i="1"/>
  <c r="AW326" i="1" s="1"/>
  <c r="AP326" i="1"/>
  <c r="J326" i="1" s="1"/>
  <c r="BD326" i="1"/>
  <c r="BF326" i="1"/>
  <c r="BH326" i="1"/>
  <c r="BI326" i="1"/>
  <c r="AC326" i="1" s="1"/>
  <c r="BJ326" i="1"/>
  <c r="K329" i="1"/>
  <c r="AL329" i="1" s="1"/>
  <c r="Z329" i="1"/>
  <c r="AD329" i="1"/>
  <c r="AE329" i="1"/>
  <c r="AF329" i="1"/>
  <c r="AG329" i="1"/>
  <c r="AH329" i="1"/>
  <c r="AJ329" i="1"/>
  <c r="AK329" i="1"/>
  <c r="AO329" i="1"/>
  <c r="I329" i="1" s="1"/>
  <c r="AP329" i="1"/>
  <c r="J329" i="1" s="1"/>
  <c r="BD329" i="1"/>
  <c r="BF329" i="1"/>
  <c r="BH329" i="1"/>
  <c r="AB329" i="1" s="1"/>
  <c r="BI329" i="1"/>
  <c r="AC329" i="1" s="1"/>
  <c r="BJ329" i="1"/>
  <c r="J332" i="1"/>
  <c r="K332" i="1"/>
  <c r="AL332" i="1" s="1"/>
  <c r="Z332" i="1"/>
  <c r="AC332" i="1"/>
  <c r="AD332" i="1"/>
  <c r="AE332" i="1"/>
  <c r="AF332" i="1"/>
  <c r="AG332" i="1"/>
  <c r="AH332" i="1"/>
  <c r="AJ332" i="1"/>
  <c r="AK332" i="1"/>
  <c r="AO332" i="1"/>
  <c r="I332" i="1" s="1"/>
  <c r="AP332" i="1"/>
  <c r="AX332" i="1"/>
  <c r="BD332" i="1"/>
  <c r="BF332" i="1"/>
  <c r="BH332" i="1"/>
  <c r="AB332" i="1" s="1"/>
  <c r="BI332" i="1"/>
  <c r="BJ332" i="1"/>
  <c r="I335" i="1"/>
  <c r="J335" i="1"/>
  <c r="K335" i="1"/>
  <c r="Z335" i="1"/>
  <c r="AB335" i="1"/>
  <c r="AC335" i="1"/>
  <c r="AD335" i="1"/>
  <c r="AE335" i="1"/>
  <c r="AF335" i="1"/>
  <c r="AG335" i="1"/>
  <c r="AH335" i="1"/>
  <c r="AJ335" i="1"/>
  <c r="AK335" i="1"/>
  <c r="AL335" i="1"/>
  <c r="AO335" i="1"/>
  <c r="AP335" i="1"/>
  <c r="AX335" i="1" s="1"/>
  <c r="AW335" i="1"/>
  <c r="BD335" i="1"/>
  <c r="BF335" i="1"/>
  <c r="BH335" i="1"/>
  <c r="BI335" i="1"/>
  <c r="BJ335" i="1"/>
  <c r="I337" i="1"/>
  <c r="K337" i="1"/>
  <c r="AL337" i="1" s="1"/>
  <c r="Z337" i="1"/>
  <c r="AB337" i="1"/>
  <c r="AD337" i="1"/>
  <c r="AE337" i="1"/>
  <c r="AF337" i="1"/>
  <c r="AG337" i="1"/>
  <c r="AH337" i="1"/>
  <c r="AJ337" i="1"/>
  <c r="AK337" i="1"/>
  <c r="AO337" i="1"/>
  <c r="AW337" i="1" s="1"/>
  <c r="AP337" i="1"/>
  <c r="J337" i="1" s="1"/>
  <c r="BD337" i="1"/>
  <c r="BF337" i="1"/>
  <c r="BH337" i="1"/>
  <c r="BI337" i="1"/>
  <c r="AC337" i="1" s="1"/>
  <c r="BJ337" i="1"/>
  <c r="K339" i="1"/>
  <c r="AL339" i="1" s="1"/>
  <c r="Z339" i="1"/>
  <c r="AD339" i="1"/>
  <c r="AE339" i="1"/>
  <c r="AF339" i="1"/>
  <c r="AG339" i="1"/>
  <c r="AH339" i="1"/>
  <c r="AJ339" i="1"/>
  <c r="AK339" i="1"/>
  <c r="AO339" i="1"/>
  <c r="I339" i="1" s="1"/>
  <c r="AP339" i="1"/>
  <c r="J339" i="1" s="1"/>
  <c r="BD339" i="1"/>
  <c r="BF339" i="1"/>
  <c r="BH339" i="1"/>
  <c r="AB339" i="1" s="1"/>
  <c r="BI339" i="1"/>
  <c r="AC339" i="1" s="1"/>
  <c r="BJ339" i="1"/>
  <c r="J342" i="1"/>
  <c r="K342" i="1"/>
  <c r="AL342" i="1" s="1"/>
  <c r="Z342" i="1"/>
  <c r="AC342" i="1"/>
  <c r="AD342" i="1"/>
  <c r="AE342" i="1"/>
  <c r="AF342" i="1"/>
  <c r="AG342" i="1"/>
  <c r="AH342" i="1"/>
  <c r="AJ342" i="1"/>
  <c r="AK342" i="1"/>
  <c r="AO342" i="1"/>
  <c r="I342" i="1" s="1"/>
  <c r="AP342" i="1"/>
  <c r="AX342" i="1"/>
  <c r="BD342" i="1"/>
  <c r="BF342" i="1"/>
  <c r="BH342" i="1"/>
  <c r="AB342" i="1" s="1"/>
  <c r="BI342" i="1"/>
  <c r="BJ342" i="1"/>
  <c r="I345" i="1"/>
  <c r="J345" i="1"/>
  <c r="K345" i="1"/>
  <c r="Z345" i="1"/>
  <c r="AB345" i="1"/>
  <c r="AC345" i="1"/>
  <c r="AD345" i="1"/>
  <c r="AE345" i="1"/>
  <c r="AF345" i="1"/>
  <c r="AG345" i="1"/>
  <c r="AH345" i="1"/>
  <c r="AJ345" i="1"/>
  <c r="AK345" i="1"/>
  <c r="AL345" i="1"/>
  <c r="AO345" i="1"/>
  <c r="AP345" i="1"/>
  <c r="AX345" i="1" s="1"/>
  <c r="AW345" i="1"/>
  <c r="BD345" i="1"/>
  <c r="BF345" i="1"/>
  <c r="BH345" i="1"/>
  <c r="BI345" i="1"/>
  <c r="BJ345" i="1"/>
  <c r="I347" i="1"/>
  <c r="K347" i="1"/>
  <c r="AL347" i="1" s="1"/>
  <c r="Z347" i="1"/>
  <c r="AB347" i="1"/>
  <c r="AD347" i="1"/>
  <c r="AE347" i="1"/>
  <c r="AF347" i="1"/>
  <c r="AG347" i="1"/>
  <c r="AH347" i="1"/>
  <c r="AJ347" i="1"/>
  <c r="AK347" i="1"/>
  <c r="AO347" i="1"/>
  <c r="AW347" i="1" s="1"/>
  <c r="AP347" i="1"/>
  <c r="J347" i="1" s="1"/>
  <c r="BD347" i="1"/>
  <c r="BF347" i="1"/>
  <c r="BH347" i="1"/>
  <c r="BI347" i="1"/>
  <c r="AC347" i="1" s="1"/>
  <c r="BJ347" i="1"/>
  <c r="K349" i="1"/>
  <c r="AL349" i="1" s="1"/>
  <c r="Z349" i="1"/>
  <c r="AD349" i="1"/>
  <c r="AE349" i="1"/>
  <c r="AF349" i="1"/>
  <c r="AG349" i="1"/>
  <c r="AH349" i="1"/>
  <c r="AJ349" i="1"/>
  <c r="AK349" i="1"/>
  <c r="AO349" i="1"/>
  <c r="I349" i="1" s="1"/>
  <c r="AP349" i="1"/>
  <c r="J349" i="1" s="1"/>
  <c r="BD349" i="1"/>
  <c r="BF349" i="1"/>
  <c r="BH349" i="1"/>
  <c r="AB349" i="1" s="1"/>
  <c r="BI349" i="1"/>
  <c r="AC349" i="1" s="1"/>
  <c r="BJ349" i="1"/>
  <c r="K351" i="1"/>
  <c r="I352" i="1"/>
  <c r="I351" i="1" s="1"/>
  <c r="K352" i="1"/>
  <c r="AL352" i="1" s="1"/>
  <c r="AU351" i="1" s="1"/>
  <c r="Z352" i="1"/>
  <c r="AB352" i="1"/>
  <c r="AD352" i="1"/>
  <c r="AE352" i="1"/>
  <c r="AF352" i="1"/>
  <c r="AG352" i="1"/>
  <c r="AH352" i="1"/>
  <c r="AJ352" i="1"/>
  <c r="AS351" i="1" s="1"/>
  <c r="AK352" i="1"/>
  <c r="AT351" i="1" s="1"/>
  <c r="AO352" i="1"/>
  <c r="AW352" i="1" s="1"/>
  <c r="AP352" i="1"/>
  <c r="J352" i="1" s="1"/>
  <c r="J351" i="1" s="1"/>
  <c r="BD352" i="1"/>
  <c r="BF352" i="1"/>
  <c r="BH352" i="1"/>
  <c r="BI352" i="1"/>
  <c r="AC352" i="1" s="1"/>
  <c r="BJ352" i="1"/>
  <c r="K358" i="1"/>
  <c r="AS358" i="1"/>
  <c r="I359" i="1"/>
  <c r="I358" i="1" s="1"/>
  <c r="J359" i="1"/>
  <c r="J358" i="1" s="1"/>
  <c r="K359" i="1"/>
  <c r="AB359" i="1"/>
  <c r="AC359" i="1"/>
  <c r="AD359" i="1"/>
  <c r="AE359" i="1"/>
  <c r="AF359" i="1"/>
  <c r="AG359" i="1"/>
  <c r="AH359" i="1"/>
  <c r="AJ359" i="1"/>
  <c r="AK359" i="1"/>
  <c r="AT358" i="1" s="1"/>
  <c r="AL359" i="1"/>
  <c r="AU358" i="1" s="1"/>
  <c r="AO359" i="1"/>
  <c r="AP359" i="1"/>
  <c r="AX359" i="1" s="1"/>
  <c r="AW359" i="1"/>
  <c r="BD359" i="1"/>
  <c r="BF359" i="1"/>
  <c r="BH359" i="1"/>
  <c r="BI359" i="1"/>
  <c r="BJ359" i="1"/>
  <c r="Z359" i="1" s="1"/>
  <c r="AS361" i="1"/>
  <c r="AT361" i="1"/>
  <c r="J362" i="1"/>
  <c r="J361" i="1" s="1"/>
  <c r="K362" i="1"/>
  <c r="K361" i="1" s="1"/>
  <c r="Z362" i="1"/>
  <c r="AB362" i="1"/>
  <c r="AC362" i="1"/>
  <c r="AD362" i="1"/>
  <c r="AE362" i="1"/>
  <c r="AG362" i="1"/>
  <c r="AH362" i="1"/>
  <c r="AJ362" i="1"/>
  <c r="AK362" i="1"/>
  <c r="AO362" i="1"/>
  <c r="AW362" i="1" s="1"/>
  <c r="AP362" i="1"/>
  <c r="AX362" i="1"/>
  <c r="BD362" i="1"/>
  <c r="BF362" i="1"/>
  <c r="BH362" i="1"/>
  <c r="AF362" i="1" s="1"/>
  <c r="BI362" i="1"/>
  <c r="BJ362" i="1"/>
  <c r="K365" i="1"/>
  <c r="K364" i="1" s="1"/>
  <c r="Z365" i="1"/>
  <c r="AB365" i="1"/>
  <c r="AC365" i="1"/>
  <c r="AD365" i="1"/>
  <c r="AE365" i="1"/>
  <c r="AF365" i="1"/>
  <c r="AG365" i="1"/>
  <c r="AH365" i="1"/>
  <c r="AJ365" i="1"/>
  <c r="AS364" i="1" s="1"/>
  <c r="AK365" i="1"/>
  <c r="AO365" i="1"/>
  <c r="I365" i="1" s="1"/>
  <c r="AP365" i="1"/>
  <c r="AX365" i="1" s="1"/>
  <c r="BD365" i="1"/>
  <c r="BF365" i="1"/>
  <c r="BH365" i="1"/>
  <c r="BI365" i="1"/>
  <c r="BJ365" i="1"/>
  <c r="J367" i="1"/>
  <c r="K367" i="1"/>
  <c r="AL367" i="1" s="1"/>
  <c r="AB367" i="1"/>
  <c r="AC367" i="1"/>
  <c r="AD367" i="1"/>
  <c r="AE367" i="1"/>
  <c r="AF367" i="1"/>
  <c r="AG367" i="1"/>
  <c r="AH367" i="1"/>
  <c r="AJ367" i="1"/>
  <c r="AK367" i="1"/>
  <c r="AO367" i="1"/>
  <c r="AW367" i="1" s="1"/>
  <c r="AP367" i="1"/>
  <c r="AX367" i="1"/>
  <c r="BD367" i="1"/>
  <c r="BF367" i="1"/>
  <c r="BH367" i="1"/>
  <c r="BI367" i="1"/>
  <c r="BJ367" i="1"/>
  <c r="Z367" i="1" s="1"/>
  <c r="I369" i="1"/>
  <c r="J369" i="1"/>
  <c r="K369" i="1"/>
  <c r="AB369" i="1"/>
  <c r="AC369" i="1"/>
  <c r="AD369" i="1"/>
  <c r="AE369" i="1"/>
  <c r="AF369" i="1"/>
  <c r="AG369" i="1"/>
  <c r="AH369" i="1"/>
  <c r="AJ369" i="1"/>
  <c r="AK369" i="1"/>
  <c r="AT364" i="1" s="1"/>
  <c r="AL369" i="1"/>
  <c r="AO369" i="1"/>
  <c r="AP369" i="1"/>
  <c r="AX369" i="1" s="1"/>
  <c r="AW369" i="1"/>
  <c r="BC369" i="1" s="1"/>
  <c r="BD369" i="1"/>
  <c r="BF369" i="1"/>
  <c r="BH369" i="1"/>
  <c r="BI369" i="1"/>
  <c r="BJ369" i="1"/>
  <c r="Z369" i="1" s="1"/>
  <c r="I371" i="1"/>
  <c r="K371" i="1"/>
  <c r="AL371" i="1" s="1"/>
  <c r="AB371" i="1"/>
  <c r="AC371" i="1"/>
  <c r="AD371" i="1"/>
  <c r="AE371" i="1"/>
  <c r="AF371" i="1"/>
  <c r="AG371" i="1"/>
  <c r="AH371" i="1"/>
  <c r="AJ371" i="1"/>
  <c r="AK371" i="1"/>
  <c r="AO371" i="1"/>
  <c r="AW371" i="1" s="1"/>
  <c r="AP371" i="1"/>
  <c r="J371" i="1" s="1"/>
  <c r="BD371" i="1"/>
  <c r="BF371" i="1"/>
  <c r="BH371" i="1"/>
  <c r="BI371" i="1"/>
  <c r="BJ371" i="1"/>
  <c r="Z371" i="1" s="1"/>
  <c r="K373" i="1"/>
  <c r="AL373" i="1" s="1"/>
  <c r="Z373" i="1"/>
  <c r="AB373" i="1"/>
  <c r="AC373" i="1"/>
  <c r="AD373" i="1"/>
  <c r="AE373" i="1"/>
  <c r="AF373" i="1"/>
  <c r="AG373" i="1"/>
  <c r="AH373" i="1"/>
  <c r="AJ373" i="1"/>
  <c r="AK373" i="1"/>
  <c r="AO373" i="1"/>
  <c r="I373" i="1" s="1"/>
  <c r="AP373" i="1"/>
  <c r="J373" i="1" s="1"/>
  <c r="BD373" i="1"/>
  <c r="BF373" i="1"/>
  <c r="BH373" i="1"/>
  <c r="BI373" i="1"/>
  <c r="BJ373" i="1"/>
  <c r="J375" i="1"/>
  <c r="K375" i="1"/>
  <c r="AL375" i="1" s="1"/>
  <c r="AB375" i="1"/>
  <c r="AC375" i="1"/>
  <c r="AD375" i="1"/>
  <c r="AE375" i="1"/>
  <c r="AF375" i="1"/>
  <c r="AG375" i="1"/>
  <c r="AH375" i="1"/>
  <c r="AJ375" i="1"/>
  <c r="AK375" i="1"/>
  <c r="AO375" i="1"/>
  <c r="I375" i="1" s="1"/>
  <c r="AP375" i="1"/>
  <c r="AX375" i="1"/>
  <c r="BD375" i="1"/>
  <c r="BF375" i="1"/>
  <c r="BH375" i="1"/>
  <c r="BI375" i="1"/>
  <c r="BJ375" i="1"/>
  <c r="Z375" i="1" s="1"/>
  <c r="I377" i="1"/>
  <c r="J377" i="1"/>
  <c r="K377" i="1"/>
  <c r="AB377" i="1"/>
  <c r="AC377" i="1"/>
  <c r="AD377" i="1"/>
  <c r="AE377" i="1"/>
  <c r="AF377" i="1"/>
  <c r="AG377" i="1"/>
  <c r="AH377" i="1"/>
  <c r="AJ377" i="1"/>
  <c r="AK377" i="1"/>
  <c r="AL377" i="1"/>
  <c r="AO377" i="1"/>
  <c r="AP377" i="1"/>
  <c r="AX377" i="1" s="1"/>
  <c r="AW377" i="1"/>
  <c r="BC377" i="1" s="1"/>
  <c r="BD377" i="1"/>
  <c r="BF377" i="1"/>
  <c r="BH377" i="1"/>
  <c r="BI377" i="1"/>
  <c r="BJ377" i="1"/>
  <c r="Z377" i="1" s="1"/>
  <c r="I379" i="1"/>
  <c r="K379" i="1"/>
  <c r="AL379" i="1" s="1"/>
  <c r="AB379" i="1"/>
  <c r="AC379" i="1"/>
  <c r="AD379" i="1"/>
  <c r="AE379" i="1"/>
  <c r="AF379" i="1"/>
  <c r="AG379" i="1"/>
  <c r="AH379" i="1"/>
  <c r="AJ379" i="1"/>
  <c r="AK379" i="1"/>
  <c r="AO379" i="1"/>
  <c r="AW379" i="1" s="1"/>
  <c r="AP379" i="1"/>
  <c r="J379" i="1" s="1"/>
  <c r="BD379" i="1"/>
  <c r="BF379" i="1"/>
  <c r="BH379" i="1"/>
  <c r="BJ379" i="1"/>
  <c r="Z379" i="1" s="1"/>
  <c r="AU314" i="1" l="1"/>
  <c r="BC335" i="1"/>
  <c r="J314" i="1"/>
  <c r="I314" i="1"/>
  <c r="BC305" i="1"/>
  <c r="BC367" i="1"/>
  <c r="AV367" i="1"/>
  <c r="BC359" i="1"/>
  <c r="BC345" i="1"/>
  <c r="BC362" i="1"/>
  <c r="AV362" i="1"/>
  <c r="AU300" i="1"/>
  <c r="J300" i="1"/>
  <c r="K314" i="1"/>
  <c r="K282" i="1"/>
  <c r="AL288" i="1"/>
  <c r="AU282" i="1" s="1"/>
  <c r="AT282" i="1"/>
  <c r="BC255" i="1"/>
  <c r="AV255" i="1"/>
  <c r="I243" i="1"/>
  <c r="AW243" i="1"/>
  <c r="J241" i="1"/>
  <c r="AX241" i="1"/>
  <c r="BI241" i="1"/>
  <c r="AE241" i="1" s="1"/>
  <c r="BC229" i="1"/>
  <c r="AV229" i="1"/>
  <c r="J203" i="1"/>
  <c r="AX203" i="1"/>
  <c r="BI203" i="1"/>
  <c r="J198" i="1"/>
  <c r="BC184" i="1"/>
  <c r="AV184" i="1"/>
  <c r="AS128" i="1"/>
  <c r="AW375" i="1"/>
  <c r="AL362" i="1"/>
  <c r="AU361" i="1" s="1"/>
  <c r="AV359" i="1"/>
  <c r="AX349" i="1"/>
  <c r="AV345" i="1"/>
  <c r="AW342" i="1"/>
  <c r="AX339" i="1"/>
  <c r="AV335" i="1"/>
  <c r="AW332" i="1"/>
  <c r="AX329" i="1"/>
  <c r="AV324" i="1"/>
  <c r="AW320" i="1"/>
  <c r="AX317" i="1"/>
  <c r="AX312" i="1"/>
  <c r="AV305" i="1"/>
  <c r="AW303" i="1"/>
  <c r="BH301" i="1"/>
  <c r="AB301" i="1" s="1"/>
  <c r="J290" i="1"/>
  <c r="J273" i="1"/>
  <c r="K265" i="1"/>
  <c r="J259" i="1"/>
  <c r="J226" i="1"/>
  <c r="AX226" i="1"/>
  <c r="BI226" i="1"/>
  <c r="AS205" i="1"/>
  <c r="K174" i="1"/>
  <c r="AL175" i="1"/>
  <c r="AU174" i="1" s="1"/>
  <c r="J150" i="1"/>
  <c r="AX150" i="1"/>
  <c r="BI150" i="1"/>
  <c r="AE150" i="1" s="1"/>
  <c r="I136" i="1"/>
  <c r="AW136" i="1"/>
  <c r="BH136" i="1"/>
  <c r="AD136" i="1" s="1"/>
  <c r="BI379" i="1"/>
  <c r="AX373" i="1"/>
  <c r="AV369" i="1"/>
  <c r="AW373" i="1"/>
  <c r="I367" i="1"/>
  <c r="I364" i="1" s="1"/>
  <c r="AW365" i="1"/>
  <c r="AL365" i="1"/>
  <c r="AU364" i="1" s="1"/>
  <c r="J365" i="1"/>
  <c r="J364" i="1" s="1"/>
  <c r="I362" i="1"/>
  <c r="I361" i="1" s="1"/>
  <c r="AX352" i="1"/>
  <c r="AV352" i="1" s="1"/>
  <c r="AW349" i="1"/>
  <c r="AX347" i="1"/>
  <c r="BC347" i="1" s="1"/>
  <c r="AW339" i="1"/>
  <c r="AX337" i="1"/>
  <c r="AV337" i="1" s="1"/>
  <c r="AW329" i="1"/>
  <c r="AX326" i="1"/>
  <c r="BC326" i="1" s="1"/>
  <c r="AW317" i="1"/>
  <c r="AX315" i="1"/>
  <c r="BC315" i="1" s="1"/>
  <c r="AW312" i="1"/>
  <c r="AX307" i="1"/>
  <c r="BC307" i="1" s="1"/>
  <c r="AS300" i="1"/>
  <c r="K300" i="1"/>
  <c r="BI298" i="1"/>
  <c r="BH296" i="1"/>
  <c r="AB296" i="1" s="1"/>
  <c r="AV296" i="1"/>
  <c r="BI290" i="1"/>
  <c r="AC290" i="1" s="1"/>
  <c r="BH280" i="1"/>
  <c r="AD280" i="1" s="1"/>
  <c r="AV280" i="1"/>
  <c r="BI273" i="1"/>
  <c r="AE273" i="1" s="1"/>
  <c r="BH266" i="1"/>
  <c r="AD266" i="1" s="1"/>
  <c r="AV266" i="1"/>
  <c r="AS265" i="1"/>
  <c r="AU265" i="1"/>
  <c r="BI259" i="1"/>
  <c r="AE259" i="1" s="1"/>
  <c r="I257" i="1"/>
  <c r="AW257" i="1"/>
  <c r="I192" i="1"/>
  <c r="AW192" i="1"/>
  <c r="BH192" i="1"/>
  <c r="AD192" i="1" s="1"/>
  <c r="AV377" i="1"/>
  <c r="AX379" i="1"/>
  <c r="AV379" i="1" s="1"/>
  <c r="AX371" i="1"/>
  <c r="BC371" i="1" s="1"/>
  <c r="I301" i="1"/>
  <c r="I300" i="1" s="1"/>
  <c r="BH298" i="1"/>
  <c r="AX298" i="1"/>
  <c r="BC298" i="1" s="1"/>
  <c r="I296" i="1"/>
  <c r="I282" i="1" s="1"/>
  <c r="BC292" i="1"/>
  <c r="AV290" i="1"/>
  <c r="BI283" i="1"/>
  <c r="AC283" i="1" s="1"/>
  <c r="BC283" i="1"/>
  <c r="J283" i="1"/>
  <c r="J282" i="1" s="1"/>
  <c r="I280" i="1"/>
  <c r="I279" i="1" s="1"/>
  <c r="BH275" i="1"/>
  <c r="AD275" i="1" s="1"/>
  <c r="AV275" i="1"/>
  <c r="AV273" i="1"/>
  <c r="BC271" i="1"/>
  <c r="J268" i="1"/>
  <c r="J265" i="1" s="1"/>
  <c r="I266" i="1"/>
  <c r="I265" i="1" s="1"/>
  <c r="BH261" i="1"/>
  <c r="AD261" i="1" s="1"/>
  <c r="AV261" i="1"/>
  <c r="AV259" i="1"/>
  <c r="I253" i="1"/>
  <c r="BH253" i="1"/>
  <c r="AD253" i="1" s="1"/>
  <c r="J251" i="1"/>
  <c r="BI251" i="1"/>
  <c r="AE251" i="1" s="1"/>
  <c r="BH243" i="1"/>
  <c r="AD243" i="1" s="1"/>
  <c r="AU228" i="1"/>
  <c r="I169" i="1"/>
  <c r="AW169" i="1"/>
  <c r="BH169" i="1"/>
  <c r="AD169" i="1" s="1"/>
  <c r="AX253" i="1"/>
  <c r="BC253" i="1" s="1"/>
  <c r="BH245" i="1"/>
  <c r="AD245" i="1" s="1"/>
  <c r="AW245" i="1"/>
  <c r="AT228" i="1"/>
  <c r="K228" i="1"/>
  <c r="BC217" i="1"/>
  <c r="AV217" i="1"/>
  <c r="AV206" i="1"/>
  <c r="AT205" i="1"/>
  <c r="K205" i="1"/>
  <c r="BC199" i="1"/>
  <c r="AV199" i="1"/>
  <c r="BC194" i="1"/>
  <c r="AV194" i="1"/>
  <c r="AL180" i="1"/>
  <c r="AU177" i="1" s="1"/>
  <c r="K177" i="1"/>
  <c r="J178" i="1"/>
  <c r="AX178" i="1"/>
  <c r="AS177" i="1"/>
  <c r="I144" i="1"/>
  <c r="AW144" i="1"/>
  <c r="BC138" i="1"/>
  <c r="AV138" i="1"/>
  <c r="AT128" i="1"/>
  <c r="AL129" i="1"/>
  <c r="AU128" i="1" s="1"/>
  <c r="K128" i="1"/>
  <c r="C18" i="2"/>
  <c r="I251" i="1"/>
  <c r="AW251" i="1"/>
  <c r="J249" i="1"/>
  <c r="J228" i="1" s="1"/>
  <c r="AX249" i="1"/>
  <c r="I228" i="1"/>
  <c r="I198" i="1"/>
  <c r="I180" i="1"/>
  <c r="I177" i="1" s="1"/>
  <c r="AW180" i="1"/>
  <c r="BI178" i="1"/>
  <c r="AE178" i="1" s="1"/>
  <c r="BC172" i="1"/>
  <c r="AV172" i="1"/>
  <c r="I160" i="1"/>
  <c r="BC154" i="1"/>
  <c r="AV154" i="1"/>
  <c r="J142" i="1"/>
  <c r="AX142" i="1"/>
  <c r="AW134" i="1"/>
  <c r="BH134" i="1"/>
  <c r="AD134" i="1" s="1"/>
  <c r="I215" i="1"/>
  <c r="I205" i="1" s="1"/>
  <c r="AW215" i="1"/>
  <c r="J213" i="1"/>
  <c r="J205" i="1" s="1"/>
  <c r="AX213" i="1"/>
  <c r="AU205" i="1"/>
  <c r="J190" i="1"/>
  <c r="AX190" i="1"/>
  <c r="I175" i="1"/>
  <c r="I174" i="1" s="1"/>
  <c r="AW175" i="1"/>
  <c r="J164" i="1"/>
  <c r="J160" i="1" s="1"/>
  <c r="AX164" i="1"/>
  <c r="AU160" i="1"/>
  <c r="K160" i="1"/>
  <c r="J158" i="1"/>
  <c r="AX158" i="1"/>
  <c r="I152" i="1"/>
  <c r="AW152" i="1"/>
  <c r="BC146" i="1"/>
  <c r="AV146" i="1"/>
  <c r="I128" i="1"/>
  <c r="BC118" i="1"/>
  <c r="AV118" i="1"/>
  <c r="BC103" i="1"/>
  <c r="AV103" i="1"/>
  <c r="BC91" i="1"/>
  <c r="AV91" i="1"/>
  <c r="I122" i="1"/>
  <c r="AW122" i="1"/>
  <c r="BC62" i="1"/>
  <c r="AV62" i="1"/>
  <c r="BC48" i="1"/>
  <c r="AV48" i="1"/>
  <c r="AS45" i="1"/>
  <c r="BC43" i="1"/>
  <c r="AV43" i="1"/>
  <c r="BC38" i="1"/>
  <c r="AV38" i="1"/>
  <c r="BC19" i="1"/>
  <c r="AV19" i="1"/>
  <c r="C28" i="2"/>
  <c r="F28" i="2" s="1"/>
  <c r="J13" i="1"/>
  <c r="J12" i="1" s="1"/>
  <c r="AX13" i="1"/>
  <c r="C27" i="2"/>
  <c r="AS12" i="1"/>
  <c r="C17" i="2"/>
  <c r="AX134" i="1"/>
  <c r="J128" i="1"/>
  <c r="J125" i="1"/>
  <c r="J124" i="1" s="1"/>
  <c r="BH122" i="1"/>
  <c r="AB122" i="1" s="1"/>
  <c r="C14" i="2" s="1"/>
  <c r="AX122" i="1"/>
  <c r="I55" i="1"/>
  <c r="AW55" i="1"/>
  <c r="J52" i="1"/>
  <c r="J45" i="1" s="1"/>
  <c r="AX52" i="1"/>
  <c r="BC52" i="1" s="1"/>
  <c r="I46" i="1"/>
  <c r="AW46" i="1"/>
  <c r="I41" i="1"/>
  <c r="I40" i="1" s="1"/>
  <c r="AW41" i="1"/>
  <c r="J30" i="1"/>
  <c r="J24" i="1" s="1"/>
  <c r="AX30" i="1"/>
  <c r="BC25" i="1"/>
  <c r="AV25" i="1"/>
  <c r="I18" i="1"/>
  <c r="C20" i="2"/>
  <c r="C16" i="2"/>
  <c r="I113" i="1"/>
  <c r="AW113" i="1"/>
  <c r="J110" i="1"/>
  <c r="AX110" i="1"/>
  <c r="I101" i="1"/>
  <c r="AW101" i="1"/>
  <c r="J96" i="1"/>
  <c r="AX96" i="1"/>
  <c r="I86" i="1"/>
  <c r="AW86" i="1"/>
  <c r="J84" i="1"/>
  <c r="AX84" i="1"/>
  <c r="AV52" i="1"/>
  <c r="K45" i="1"/>
  <c r="AL46" i="1"/>
  <c r="AU45" i="1" s="1"/>
  <c r="K40" i="1"/>
  <c r="AL41" i="1"/>
  <c r="AU40" i="1" s="1"/>
  <c r="BI13" i="1"/>
  <c r="AC13" i="1" s="1"/>
  <c r="C15" i="2" s="1"/>
  <c r="C19" i="2"/>
  <c r="C21" i="2"/>
  <c r="AT12" i="1"/>
  <c r="AX120" i="1"/>
  <c r="AW110" i="1"/>
  <c r="AX105" i="1"/>
  <c r="AW96" i="1"/>
  <c r="AX93" i="1"/>
  <c r="AV93" i="1" s="1"/>
  <c r="AW84" i="1"/>
  <c r="C22" i="2" l="1"/>
  <c r="BC86" i="1"/>
  <c r="AV86" i="1"/>
  <c r="AV158" i="1"/>
  <c r="BC158" i="1"/>
  <c r="AV164" i="1"/>
  <c r="BC164" i="1"/>
  <c r="AV190" i="1"/>
  <c r="BC190" i="1"/>
  <c r="AV134" i="1"/>
  <c r="BC134" i="1"/>
  <c r="BC251" i="1"/>
  <c r="AV251" i="1"/>
  <c r="AV178" i="1"/>
  <c r="BC178" i="1"/>
  <c r="AV365" i="1"/>
  <c r="BC365" i="1"/>
  <c r="AV243" i="1"/>
  <c r="BC243" i="1"/>
  <c r="AV298" i="1"/>
  <c r="AV326" i="1"/>
  <c r="AV315" i="1"/>
  <c r="BC352" i="1"/>
  <c r="AV371" i="1"/>
  <c r="AV307" i="1"/>
  <c r="BC337" i="1"/>
  <c r="BC120" i="1"/>
  <c r="AV120" i="1"/>
  <c r="AV96" i="1"/>
  <c r="BC96" i="1"/>
  <c r="BC101" i="1"/>
  <c r="AV101" i="1"/>
  <c r="BC113" i="1"/>
  <c r="AV113" i="1"/>
  <c r="AV30" i="1"/>
  <c r="BC30" i="1"/>
  <c r="BC46" i="1"/>
  <c r="AV46" i="1"/>
  <c r="BC55" i="1"/>
  <c r="AV55" i="1"/>
  <c r="AV215" i="1"/>
  <c r="BC215" i="1"/>
  <c r="AV142" i="1"/>
  <c r="BC142" i="1"/>
  <c r="AV180" i="1"/>
  <c r="BC180" i="1"/>
  <c r="AV144" i="1"/>
  <c r="BC144" i="1"/>
  <c r="J177" i="1"/>
  <c r="BC257" i="1"/>
  <c r="AV257" i="1"/>
  <c r="AV317" i="1"/>
  <c r="BC317" i="1"/>
  <c r="AV339" i="1"/>
  <c r="BC339" i="1"/>
  <c r="AV253" i="1"/>
  <c r="BC342" i="1"/>
  <c r="AV342" i="1"/>
  <c r="BC203" i="1"/>
  <c r="AV203" i="1"/>
  <c r="AV152" i="1"/>
  <c r="BC152" i="1"/>
  <c r="AV175" i="1"/>
  <c r="BC175" i="1"/>
  <c r="AV249" i="1"/>
  <c r="BC249" i="1"/>
  <c r="AV373" i="1"/>
  <c r="BC373" i="1"/>
  <c r="AV150" i="1"/>
  <c r="BC150" i="1"/>
  <c r="BC226" i="1"/>
  <c r="AV226" i="1"/>
  <c r="BC332" i="1"/>
  <c r="AV332" i="1"/>
  <c r="BC375" i="1"/>
  <c r="AV375" i="1"/>
  <c r="AV241" i="1"/>
  <c r="BC241" i="1"/>
  <c r="AV347" i="1"/>
  <c r="BC379" i="1"/>
  <c r="BC105" i="1"/>
  <c r="AV105" i="1"/>
  <c r="BC93" i="1"/>
  <c r="I45" i="1"/>
  <c r="AV84" i="1"/>
  <c r="BC84" i="1"/>
  <c r="AV110" i="1"/>
  <c r="BC110" i="1"/>
  <c r="C29" i="2"/>
  <c r="F29" i="2" s="1"/>
  <c r="BC41" i="1"/>
  <c r="AV41" i="1"/>
  <c r="AV13" i="1"/>
  <c r="BC13" i="1"/>
  <c r="AV122" i="1"/>
  <c r="BC122" i="1"/>
  <c r="AV213" i="1"/>
  <c r="BC213" i="1"/>
  <c r="BC245" i="1"/>
  <c r="AV245" i="1"/>
  <c r="AV169" i="1"/>
  <c r="BC169" i="1"/>
  <c r="AV192" i="1"/>
  <c r="BC192" i="1"/>
  <c r="AV312" i="1"/>
  <c r="BC312" i="1"/>
  <c r="AV329" i="1"/>
  <c r="BC329" i="1"/>
  <c r="AV349" i="1"/>
  <c r="BC349" i="1"/>
  <c r="AV136" i="1"/>
  <c r="BC136" i="1"/>
  <c r="BC303" i="1"/>
  <c r="AV303" i="1"/>
  <c r="BC320" i="1"/>
  <c r="AV320" i="1"/>
  <c r="I28" i="2" l="1"/>
  <c r="I29" i="2" s="1"/>
</calcChain>
</file>

<file path=xl/sharedStrings.xml><?xml version="1.0" encoding="utf-8"?>
<sst xmlns="http://schemas.openxmlformats.org/spreadsheetml/2006/main" count="1593" uniqueCount="751">
  <si>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</si>
  <si>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</si>
  <si>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</si>
  <si>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</si>
  <si>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</si>
  <si>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</si>
  <si>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</si>
  <si>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</si>
  <si>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</si>
  <si>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</si>
  <si>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</si>
  <si>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</si>
  <si>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</si>
  <si>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</si>
  <si>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</si>
  <si>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</si>
  <si>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</si>
  <si>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</si>
  <si>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</si>
  <si>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</si>
  <si>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</si>
  <si>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</si>
  <si>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</si>
  <si>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</si>
  <si>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</si>
  <si>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</si>
  <si>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</si>
  <si>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</si>
  <si>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</si>
  <si>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</si>
  <si>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</si>
  <si>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</si>
  <si>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</si>
  <si>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</si>
  <si>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</si>
  <si>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</si>
  <si>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</si>
  <si>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</si>
  <si>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</si>
  <si>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</si>
  <si>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</si>
  <si>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</si>
  <si>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</si>
  <si>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</si>
  <si>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</si>
  <si>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</si>
  <si>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</si>
  <si>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</si>
  <si>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</si>
  <si>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</si>
  <si>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</si>
  <si>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</si>
  <si>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</si>
  <si>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</si>
  <si>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</si>
  <si>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</si>
  <si>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</si>
  <si>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</si>
  <si>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</si>
  <si>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</si>
  <si>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</si>
  <si>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</si>
  <si>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</si>
  <si>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</si>
  <si>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</si>
  <si>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</si>
  <si>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</si>
  <si>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</si>
  <si>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</si>
  <si>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</si>
  <si>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</si>
  <si>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</si>
  <si>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</si>
  <si>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</si>
  <si>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</si>
  <si>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</si>
  <si>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</si>
  <si>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</si>
  <si>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</si>
  <si>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</si>
  <si>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</si>
  <si>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</si>
  <si>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</si>
  <si>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</si>
  <si>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</si>
  <si>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</si>
  <si>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</si>
  <si>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</si>
  <si>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</si>
  <si>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</si>
  <si>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</si>
  <si>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</si>
  <si>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</si>
  <si>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</si>
  <si>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</si>
  <si>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</si>
  <si>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</si>
  <si>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</si>
  <si>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</si>
  <si>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</si>
  <si>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</si>
  <si>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</si>
  <si>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</si>
  <si>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</si>
  <si>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</si>
  <si>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</si>
  <si>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</si>
  <si>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</si>
  <si>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</si>
  <si>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</si>
  <si>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</si>
  <si>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</si>
  <si>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</si>
  <si>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</si>
  <si>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</si>
  <si>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</si>
  <si>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</si>
  <si>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</si>
  <si>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</si>
  <si>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</si>
  <si>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</si>
  <si>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</si>
  <si>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</si>
  <si>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</si>
  <si>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</si>
  <si>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</si>
  <si>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</si>
  <si>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</si>
  <si>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</si>
  <si>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</si>
  <si>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</si>
  <si>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</si>
  <si>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</si>
  <si>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Poznámka:</t>
  </si>
  <si>
    <t>Kód</t>
  </si>
  <si>
    <t>100001500R00</t>
  </si>
  <si>
    <t>139600013RA0</t>
  </si>
  <si>
    <t>167101101R00</t>
  </si>
  <si>
    <t>162701105R00</t>
  </si>
  <si>
    <t>174101101R00</t>
  </si>
  <si>
    <t>171201201R00</t>
  </si>
  <si>
    <t>199000002R00</t>
  </si>
  <si>
    <t>202110015VD</t>
  </si>
  <si>
    <t>596100030RA0</t>
  </si>
  <si>
    <t>612100020RA0</t>
  </si>
  <si>
    <t>612425931R00</t>
  </si>
  <si>
    <t>622421493R00</t>
  </si>
  <si>
    <t>622311524RV1</t>
  </si>
  <si>
    <t>622311734RT3</t>
  </si>
  <si>
    <t>622311134RT3</t>
  </si>
  <si>
    <t>622311353RT3</t>
  </si>
  <si>
    <t>622311563R00</t>
  </si>
  <si>
    <t>622481113R00</t>
  </si>
  <si>
    <t>620991121R00</t>
  </si>
  <si>
    <t>622432111R00</t>
  </si>
  <si>
    <t>622481292R00</t>
  </si>
  <si>
    <t>28350203</t>
  </si>
  <si>
    <t>28350107.A</t>
  </si>
  <si>
    <t>622481291R00</t>
  </si>
  <si>
    <t>55392762</t>
  </si>
  <si>
    <t>622473187RT2</t>
  </si>
  <si>
    <t>622904112R00</t>
  </si>
  <si>
    <t>622401937R00</t>
  </si>
  <si>
    <t>622429991R00</t>
  </si>
  <si>
    <t>622311014R00</t>
  </si>
  <si>
    <t>648952421RT3</t>
  </si>
  <si>
    <t>712</t>
  </si>
  <si>
    <t>712300831R00</t>
  </si>
  <si>
    <t>712300832R00</t>
  </si>
  <si>
    <t>764291410R00</t>
  </si>
  <si>
    <t>712378006R00</t>
  </si>
  <si>
    <t>712378007R00</t>
  </si>
  <si>
    <t>711823129R00</t>
  </si>
  <si>
    <t>58556701.A</t>
  </si>
  <si>
    <t>712110011VD</t>
  </si>
  <si>
    <t>712351111R00</t>
  </si>
  <si>
    <t>62852269</t>
  </si>
  <si>
    <t>712391171R00</t>
  </si>
  <si>
    <t>69366198</t>
  </si>
  <si>
    <t>712472101R00</t>
  </si>
  <si>
    <t>283220012</t>
  </si>
  <si>
    <t>998712102R00</t>
  </si>
  <si>
    <t>713</t>
  </si>
  <si>
    <t>713141312R00</t>
  </si>
  <si>
    <t>28375769.A</t>
  </si>
  <si>
    <t>63151377.A</t>
  </si>
  <si>
    <t>998713102R00</t>
  </si>
  <si>
    <t>721</t>
  </si>
  <si>
    <t>721210823R00</t>
  </si>
  <si>
    <t>728</t>
  </si>
  <si>
    <t>728618811R00</t>
  </si>
  <si>
    <t>728415816R00</t>
  </si>
  <si>
    <t>728618215R00</t>
  </si>
  <si>
    <t>728314111R00</t>
  </si>
  <si>
    <t>553432903</t>
  </si>
  <si>
    <t>553432904</t>
  </si>
  <si>
    <t>553432908</t>
  </si>
  <si>
    <t>998728102R00</t>
  </si>
  <si>
    <t>763</t>
  </si>
  <si>
    <t>763613212R00</t>
  </si>
  <si>
    <t>606233006</t>
  </si>
  <si>
    <t>998763101R00</t>
  </si>
  <si>
    <t>764</t>
  </si>
  <si>
    <t>764900050RA0</t>
  </si>
  <si>
    <t>764321820R00</t>
  </si>
  <si>
    <t>764311831R00</t>
  </si>
  <si>
    <t>764410310RAB</t>
  </si>
  <si>
    <t>764211401R00</t>
  </si>
  <si>
    <t>998764101R00</t>
  </si>
  <si>
    <t>766</t>
  </si>
  <si>
    <t>766629310R00</t>
  </si>
  <si>
    <t>611110032VD</t>
  </si>
  <si>
    <t>611110033VD</t>
  </si>
  <si>
    <t>611221147VD</t>
  </si>
  <si>
    <t>611221134VD</t>
  </si>
  <si>
    <t>611221135VD</t>
  </si>
  <si>
    <t>611221136VD</t>
  </si>
  <si>
    <t>611221137VD</t>
  </si>
  <si>
    <t>611221138VD</t>
  </si>
  <si>
    <t>611221139VD</t>
  </si>
  <si>
    <t>611221140VD</t>
  </si>
  <si>
    <t>611221141VD</t>
  </si>
  <si>
    <t>998766101R00</t>
  </si>
  <si>
    <t>767</t>
  </si>
  <si>
    <t>767995114VD</t>
  </si>
  <si>
    <t>001111130VD</t>
  </si>
  <si>
    <t>767995112VD</t>
  </si>
  <si>
    <t>767652210R00</t>
  </si>
  <si>
    <t>553446412</t>
  </si>
  <si>
    <t>998767101R00</t>
  </si>
  <si>
    <t>784</t>
  </si>
  <si>
    <t>784433271R00</t>
  </si>
  <si>
    <t>941941042R00</t>
  </si>
  <si>
    <t>941941292R00</t>
  </si>
  <si>
    <t>941941842R00</t>
  </si>
  <si>
    <t>944944011R00</t>
  </si>
  <si>
    <t>944944031R00</t>
  </si>
  <si>
    <t>944944081R00</t>
  </si>
  <si>
    <t>998009101R00</t>
  </si>
  <si>
    <t>952901411R00</t>
  </si>
  <si>
    <t>952901110R00</t>
  </si>
  <si>
    <t>952900001VD</t>
  </si>
  <si>
    <t>952900002VD</t>
  </si>
  <si>
    <t>965042131RT2</t>
  </si>
  <si>
    <t>962200041RA0</t>
  </si>
  <si>
    <t>968061112R00</t>
  </si>
  <si>
    <t>968062244R00</t>
  </si>
  <si>
    <t>968061113R00</t>
  </si>
  <si>
    <t>968062247R00</t>
  </si>
  <si>
    <t>968062246R00</t>
  </si>
  <si>
    <t>968071125R00</t>
  </si>
  <si>
    <t>968072456R00</t>
  </si>
  <si>
    <t>968071112R00</t>
  </si>
  <si>
    <t>968072247R00</t>
  </si>
  <si>
    <t>968071136R00</t>
  </si>
  <si>
    <t>968072559R00</t>
  </si>
  <si>
    <t>968095002R00</t>
  </si>
  <si>
    <t>978059631R00</t>
  </si>
  <si>
    <t>H99</t>
  </si>
  <si>
    <t>999281108R00</t>
  </si>
  <si>
    <t>M46</t>
  </si>
  <si>
    <t>460620006RT1</t>
  </si>
  <si>
    <t>S</t>
  </si>
  <si>
    <t>979011111R00</t>
  </si>
  <si>
    <t>979082111R00</t>
  </si>
  <si>
    <t>979082212R00</t>
  </si>
  <si>
    <t>979087113R00</t>
  </si>
  <si>
    <t>979081111R00</t>
  </si>
  <si>
    <t>979081121R00</t>
  </si>
  <si>
    <t>979990121R00</t>
  </si>
  <si>
    <t>979990001R00</t>
  </si>
  <si>
    <t>SNÍŽENÍ ENERGETICKÉ NÁROČNOSTI BUDOVY 3. ZÁKLADNÍ ŠKOLY, CHEB</t>
  </si>
  <si>
    <t>Objekt 5 - tělovýchova</t>
  </si>
  <si>
    <t>Malé Náměstí 2287/3, 350 02 Cheb</t>
  </si>
  <si>
    <t>Zkrácený popis</t>
  </si>
  <si>
    <t>Rozměry</t>
  </si>
  <si>
    <t>Zemní práce</t>
  </si>
  <si>
    <t>Dočištění stěny</t>
  </si>
  <si>
    <t>45;viz zateplení pod terénem;   </t>
  </si>
  <si>
    <t>Hloubené vykopávky</t>
  </si>
  <si>
    <t xml:space="preserve">Ruční odkopání kolem objektu		</t>
  </si>
  <si>
    <t>(9+42+6,5+6+6,5+4,5)*0,5*0,3;odkop zeminy;   </t>
  </si>
  <si>
    <t>Přemístění výkopku</t>
  </si>
  <si>
    <t>Nakládání výkopku z hor.1-4 v množství do 100 m3</t>
  </si>
  <si>
    <t>11,175;viz výkop;   </t>
  </si>
  <si>
    <t>-8,046;viz zásyp;   </t>
  </si>
  <si>
    <t>Vodorovné přemístění výkopku z hor.1-4 do 10000 m</t>
  </si>
  <si>
    <t>3,129;viz nakládání;   </t>
  </si>
  <si>
    <t>Konstrukce ze zemin</t>
  </si>
  <si>
    <t>Zásyp jam, rýh, šachet se zhutněním</t>
  </si>
  <si>
    <t>11,175   </t>
  </si>
  <si>
    <t>-(9+42+6,5+6+6,5+4,5)*0,14*0,3;zásyp;   </t>
  </si>
  <si>
    <t>Uložení sypaniny na skládku</t>
  </si>
  <si>
    <t>Poplatek za skládku</t>
  </si>
  <si>
    <t>3,129;viz uložení;   </t>
  </si>
  <si>
    <t>Manipulace s nábytkem</t>
  </si>
  <si>
    <t>Manipulace s nábytkem včetně zpětného osazení po úklidu prostor</t>
  </si>
  <si>
    <t>1;nábytek;   </t>
  </si>
  <si>
    <t>Kryty pozemních komunikací, letišť a ploch dlážděných (předlažby)</t>
  </si>
  <si>
    <t>Chodník z dlažby betonové, podklad štěrkodrť</t>
  </si>
  <si>
    <t>(9+42+6,5+6+6,5+4,5)*0,6;OCH;   </t>
  </si>
  <si>
    <t>Úprava povrchů vnitřní</t>
  </si>
  <si>
    <t>Začištění omítek kolem oken a dveří</t>
  </si>
  <si>
    <t>297,3;viz APU lišta;   </t>
  </si>
  <si>
    <t>Omítka vápenná vnitřního ostění - štuková</t>
  </si>
  <si>
    <t>297,3*0,5;omítka vnitřního ostění;   </t>
  </si>
  <si>
    <t>Úprava povrchů vnější</t>
  </si>
  <si>
    <t>Doplňky zatepl. systémů, dilatační lišta s tkan.</t>
  </si>
  <si>
    <t>5*2;SR;   </t>
  </si>
  <si>
    <t xml:space="preserve">Zateplovací systém, sokl, XPS tl. 140 mm bez omítky - pod terénem		</t>
  </si>
  <si>
    <t>(43+7+50+25+25)*0,3   </t>
  </si>
  <si>
    <t xml:space="preserve">Zateplovací systém, sokl, XPS tl. 140 mm zakončený stěrkou s výztužnou tkaninou - nad terénem		</t>
  </si>
  <si>
    <t>(43+7+50+25+25)*0,5   </t>
  </si>
  <si>
    <t>Zatepl.syst., fasáda, miner.desky tl. 140 mm s omítkou Silikon probarvená., zrno 2mm</t>
  </si>
  <si>
    <t>(43+7+50+25+25)*1      omítka probarvená zrnitost 2mm, cenu určit za odstín s příplatkem 1</t>
  </si>
  <si>
    <t>150*0,05;prořez;   </t>
  </si>
  <si>
    <t>Zateplovací systém, fasáda, EPS F tl.140 mm s omítkou Silikon probarvená., zrno 2mm</t>
  </si>
  <si>
    <t>43*10,5+6,5*3,2      omítka probarvená zrnitost 2mm, cenu určit za odstín s příplatkem 1</t>
  </si>
  <si>
    <t>42*3,2+43*4,5+7,5*3,2   </t>
  </si>
  <si>
    <t>10*3+15*9   </t>
  </si>
  <si>
    <t>15*9+7*3,2   </t>
  </si>
  <si>
    <t>-(41*4,6+2,4*1,8+2,4*1,8*9+2,1*1,8*11+1,7*2,2+5*5+1,7*1,8+3,6*0,9)   </t>
  </si>
  <si>
    <t>;odečet výplní;   </t>
  </si>
  <si>
    <t>Zatepl.systém, ostění a nadpraží, EPS tl. 30 mm probarvená., zrno 2mm</t>
  </si>
  <si>
    <t>(1,2+0,6*2)*0,3*12;O1;      omítka probarvená zrnitost 2mm, cenu určit za odstín s příplatkem 1</t>
  </si>
  <si>
    <t>(2,4+2,4*2)*0,3*2;V1;   </t>
  </si>
  <si>
    <t>(41+4,64*2)*0,3;O29;   </t>
  </si>
  <si>
    <t>(2,4+1,8*2)*1*0,3;O24a;   </t>
  </si>
  <si>
    <t>;jih;   </t>
  </si>
  <si>
    <t>(1,7+3,35*2)*1*0,3;dveře stáv.;   </t>
  </si>
  <si>
    <t>(1,2+1,8*2)*0,3;O26a;   </t>
  </si>
  <si>
    <t>(1,2+1,8*2)*0,3;O26b;   </t>
  </si>
  <si>
    <t>(2,1+1,8*2)*0,3*3;O26a;   </t>
  </si>
  <si>
    <t>(2,1+1,8*2)*0,3*8;O26b;   </t>
  </si>
  <si>
    <t>(4,82+7,2*2)*0,3*1;O28;   </t>
  </si>
  <si>
    <t>(2,4+1,8*2)*0,3*9;O24b;   </t>
  </si>
  <si>
    <t>;sever;   </t>
  </si>
  <si>
    <t>(1,6+3,3*2)*0,3*2;dveře stáv.;   </t>
  </si>
  <si>
    <t>(1,2+1,8*2)*0,3*1;O26a;   </t>
  </si>
  <si>
    <t>;západ;   </t>
  </si>
  <si>
    <t>(1,65+1,97*2)*0,3*1;D7;   </t>
  </si>
  <si>
    <t>(3,6+0,9*2)*0,3*1;O27;   </t>
  </si>
  <si>
    <t>;východ;   </t>
  </si>
  <si>
    <t>Zateplovací systém, parapet, XPS tl. 30 mm</t>
  </si>
  <si>
    <t>100,12*0,3;viz oplechování parapetů;   </t>
  </si>
  <si>
    <t xml:space="preserve">Potažení vnějších stěn sklotex. pletivem, vypnutí - od soklu do výšky 2m		</t>
  </si>
  <si>
    <t>(43+7+50+25+25)*2   </t>
  </si>
  <si>
    <t>Zakrývání výplní vnějších otvorů z lešení</t>
  </si>
  <si>
    <t>334,585;viz montáž výplní otvorů;   </t>
  </si>
  <si>
    <t>2,4*2,4*2;viz vrata;   </t>
  </si>
  <si>
    <t>1,7+3,35*2;dveře stáv.;   </t>
  </si>
  <si>
    <t>1,6*3,3;dveře stáv.;   </t>
  </si>
  <si>
    <t xml:space="preserve">Omítka stěn marmolit		</t>
  </si>
  <si>
    <t>78,75;viz zateplení soklu;   </t>
  </si>
  <si>
    <t>Montáž výztužné lišty okenní a podparapetní</t>
  </si>
  <si>
    <t>122,95;viz lišta okenní;   </t>
  </si>
  <si>
    <t>100,12;viz profil pod parapet;   </t>
  </si>
  <si>
    <t>Lišta okenní s tkaninou</t>
  </si>
  <si>
    <t>41+2,4+1,2*11+2,4*2   </t>
  </si>
  <si>
    <t>2,4*9+2,1*11+1,7+5+1,2*2   </t>
  </si>
  <si>
    <t>1,3+1,2   </t>
  </si>
  <si>
    <t>1,65+3,6   </t>
  </si>
  <si>
    <t>Profil okenní pod parapet vč. lep. pásky</t>
  </si>
  <si>
    <t>100,12;viz oplechování parapetů;   </t>
  </si>
  <si>
    <t>Montáž výztužné lišty rohové</t>
  </si>
  <si>
    <t>147,34;viz lišta rohová;   </t>
  </si>
  <si>
    <t>Lišta rohová s tkaninou</t>
  </si>
  <si>
    <t>4,6*2+1,8*2+0,6*2*11+2,4*2*2   </t>
  </si>
  <si>
    <t>3,4*2+1,8*2*2+1,8*2*11+1,8*2*9+4,8*2   </t>
  </si>
  <si>
    <t>3,4*2+1,8*2   </t>
  </si>
  <si>
    <t>1,97*2+0,9*2   </t>
  </si>
  <si>
    <t>Příplatek za okenní lištu (APU) - montáž, včetně dodávky lišty</t>
  </si>
  <si>
    <t>122,95;viz okenní lišta;   </t>
  </si>
  <si>
    <t>Očištění fasád tlakovou vodou</t>
  </si>
  <si>
    <t>75;viz zateplení soklu nad terénem;   </t>
  </si>
  <si>
    <t>157,5;viz zateplení mv;   </t>
  </si>
  <si>
    <t>838,18;viz zateplení EPS;   </t>
  </si>
  <si>
    <t>85,677;viz ostění;   </t>
  </si>
  <si>
    <t>Příplatek za styk 2 odstínů tenkovrstvých omítek</t>
  </si>
  <si>
    <t>(42+3+38+2,4)*2;omítka;   </t>
  </si>
  <si>
    <t>Příplatek k položkám za 1. barvu</t>
  </si>
  <si>
    <t>1156,357;viz očištění fasády;   </t>
  </si>
  <si>
    <t>Soklová lišta hliník KZS tl. 140 mm</t>
  </si>
  <si>
    <t>(43+7+50+25+25);lišta zatepl. nad terénem;   </t>
  </si>
  <si>
    <t>Výplně otvorů</t>
  </si>
  <si>
    <t>Osazení parapetních desek dřevěných včetně dodávky parapetní desky</t>
  </si>
  <si>
    <t>100,12;viz demontáž;   </t>
  </si>
  <si>
    <t>100,12*0,05;prořez;   </t>
  </si>
  <si>
    <t>Izolace střech (živičné krytiny)</t>
  </si>
  <si>
    <t>Odstranění povlakové krytiny střech do 10° 1vrstvé - fólie</t>
  </si>
  <si>
    <t>43*14,5+42*10+6,5*7;B30;   </t>
  </si>
  <si>
    <t>((43+14,5+42+10)*2+6,5+7*2)*0,5;B30-atika;   </t>
  </si>
  <si>
    <t>Odstranění povlakové krytiny střech do 10° 2vrstvé - asf. pásy</t>
  </si>
  <si>
    <t>1210;viz odstranění fólie B30;   </t>
  </si>
  <si>
    <t>190;K3 viz B20;   </t>
  </si>
  <si>
    <t>190*2;K3 viz B20;   </t>
  </si>
  <si>
    <t>Montáž ukončovacího profilu</t>
  </si>
  <si>
    <t>Profil ukončovací</t>
  </si>
  <si>
    <t>190;viz montáž;   </t>
  </si>
  <si>
    <t>Dodávka a osazení střešní vpusti</t>
  </si>
  <si>
    <t>5;K5;   </t>
  </si>
  <si>
    <t>Povlaková krytina střech do 10°,samolepicím pásem</t>
  </si>
  <si>
    <t>1210;viz odstranění;   </t>
  </si>
  <si>
    <t>1210*1,05;prořez;   </t>
  </si>
  <si>
    <t>Povlaková krytina střech do 10°, podklad. textilie</t>
  </si>
  <si>
    <t>Mont.povlakové krytiny střech do 30°fólií kotvením</t>
  </si>
  <si>
    <t>Přesun hmot pro povlakové krytiny, výšky do 12 m</t>
  </si>
  <si>
    <t>8,22802;viz hmotnost;   </t>
  </si>
  <si>
    <t>Izolace tepelné</t>
  </si>
  <si>
    <t>Izolace tepelná střech do tl.160 mm,1vrstva,kotvy</t>
  </si>
  <si>
    <t>43*14,5+42*10+6,5*7;viz dmt lepenky;   </t>
  </si>
  <si>
    <t>((43+14,5+42+10)*2+6,5+7*2)*0,5;atika;   </t>
  </si>
  <si>
    <t>Deska izolační polystyrén samozhášivý EPS 200</t>
  </si>
  <si>
    <t>(43*14,5+42*10+6,5*7)*0,16;SCH2;   </t>
  </si>
  <si>
    <t>((43+14,5+42+10)*2+6,5+7*2)*0,5*0,08;atika;   </t>
  </si>
  <si>
    <t>183,82*0,05;prořez;   </t>
  </si>
  <si>
    <t>-40,95*0,16;viz minerál. vlna;   </t>
  </si>
  <si>
    <t>30*1,3;minerální pás;   </t>
  </si>
  <si>
    <t>39*0,05;prořez;   </t>
  </si>
  <si>
    <t>Přesun hmot pro izolace tepelné, výšky do 12 m</t>
  </si>
  <si>
    <t>5,79033;viz hmotnost;   </t>
  </si>
  <si>
    <t>Vnitřní kanalizace</t>
  </si>
  <si>
    <t>Demontáž střešní vpusti</t>
  </si>
  <si>
    <t>5;B23;   </t>
  </si>
  <si>
    <t>Vzduchotechnika</t>
  </si>
  <si>
    <t>Demontáž ventilační turbíny včetně oplechování</t>
  </si>
  <si>
    <t>1;B24;   </t>
  </si>
  <si>
    <t>Demontáž mřížky větrací nebo ventilač. do d 100 mm</t>
  </si>
  <si>
    <t>16+20+15+4+6   </t>
  </si>
  <si>
    <t>7+3+1   </t>
  </si>
  <si>
    <t>;B7;   </t>
  </si>
  <si>
    <t>Ventilační turbína včetně oplechování konstrukce</t>
  </si>
  <si>
    <t>1;K7;   </t>
  </si>
  <si>
    <t>Montáž protidešť. žaluzie čtyřhranné do 0,15 m2</t>
  </si>
  <si>
    <t>16+15+20+4+6;M1;   </t>
  </si>
  <si>
    <t>7+7;M2;   </t>
  </si>
  <si>
    <t>1;M6;   </t>
  </si>
  <si>
    <t>Mřížka protidešťová 150x150mm</t>
  </si>
  <si>
    <t>61;M1;   </t>
  </si>
  <si>
    <t>Mřížka protidešťová 800x150mm</t>
  </si>
  <si>
    <t>Mřížka protidešťová pr. 300mm</t>
  </si>
  <si>
    <t>Přesun hmot pro vzduchotechniku, výšky do 12 m</t>
  </si>
  <si>
    <t>0,03305;viz hmotnost;   </t>
  </si>
  <si>
    <t>Dřevostavby</t>
  </si>
  <si>
    <t>M.záklopu desek nad tl.18 mm</t>
  </si>
  <si>
    <t>190*0,5;délka viz záv. lišta;   </t>
  </si>
  <si>
    <t>Překližka vodovzdorná bříza tl. 21 mm jak. S/BB</t>
  </si>
  <si>
    <t>95*1,1;viz montáž krát ztratné;   </t>
  </si>
  <si>
    <t>Přesun hmot pro dřevostavby, výšky do 12 m</t>
  </si>
  <si>
    <t>1,53995;viz hmotnost;   </t>
  </si>
  <si>
    <t>Konstrukce klempířské</t>
  </si>
  <si>
    <t>Demontáž oplechování parapetů</t>
  </si>
  <si>
    <t>2,4*(1+9);B9;   </t>
  </si>
  <si>
    <t>1,2*3;B48;   </t>
  </si>
  <si>
    <t>2,1*11;B61;   </t>
  </si>
  <si>
    <t>3,6*1;B63;   </t>
  </si>
  <si>
    <t>4,82*1;B65;   </t>
  </si>
  <si>
    <t>41*1;B67;   </t>
  </si>
  <si>
    <t>Demontáž oplechování atiky, rš 500 mm, do 30°</t>
  </si>
  <si>
    <t>(50+24)*2+36+6;B20;   </t>
  </si>
  <si>
    <t>Demontáž oplechování</t>
  </si>
  <si>
    <t>5,3*0,15*2;B70;   </t>
  </si>
  <si>
    <t>Oplechování parapetů z elox. hliníku včetně doplňků</t>
  </si>
  <si>
    <t>3,6;P1/E;   </t>
  </si>
  <si>
    <t>1,2*3;P7/E;   </t>
  </si>
  <si>
    <t>2,4*(1+9);P2/E;   </t>
  </si>
  <si>
    <t>4,82*1;P12/E;   </t>
  </si>
  <si>
    <t>2,1*11;P11/E;   </t>
  </si>
  <si>
    <t>41*1;P13/E;   </t>
  </si>
  <si>
    <t>Oplechování z TiZn plechu</t>
  </si>
  <si>
    <t>5,3*0,15*2;K10;   </t>
  </si>
  <si>
    <t>Přesun hmot pro klempířské konstr., výšky do 6 m</t>
  </si>
  <si>
    <t>0,27047;viz hmotnost;   </t>
  </si>
  <si>
    <t>Konstrukce truhlářské</t>
  </si>
  <si>
    <t>Montáž výplní otvorů</t>
  </si>
  <si>
    <t>1,2*0,6*12;O1;   </t>
  </si>
  <si>
    <t>1,65*1,97*2;D7;   </t>
  </si>
  <si>
    <t>2,4*1,8*1;O24a;   </t>
  </si>
  <si>
    <t>2,4*1,8*9;O24b;   </t>
  </si>
  <si>
    <t>2,1*1,8*2;O25a;   </t>
  </si>
  <si>
    <t>2,1*1,8*9;O25b;   </t>
  </si>
  <si>
    <t>1,2*1,8*2;O26a;   </t>
  </si>
  <si>
    <t>1,2*1,8*1;O26b;   </t>
  </si>
  <si>
    <t>3,6*0,9*1;O27;   </t>
  </si>
  <si>
    <t>4,82*7,2;O28;   </t>
  </si>
  <si>
    <t>41*4,64*1;O29;   </t>
  </si>
  <si>
    <t>Okno plast 1,2x0,6m, 3 sklo, Umax=0,9W/m2K</t>
  </si>
  <si>
    <t>12;O1;   </t>
  </si>
  <si>
    <t>Dveře plast 1,65x1,97m, 3 sklo, Umax=0,9W/m2K</t>
  </si>
  <si>
    <t>2;D7;   </t>
  </si>
  <si>
    <t>Okno plast 2,4x1,8m, 3 sklo, Umax=0,9W/m2K</t>
  </si>
  <si>
    <t>1;O24a;   </t>
  </si>
  <si>
    <t>Okno plast 2,4x1,8m, 3 sklo, Umax=0,9W/m2K el. ovládané</t>
  </si>
  <si>
    <t>9;O24b;   </t>
  </si>
  <si>
    <t>Okno plast 2,1x1,8m, 3 sklo, Umax=0,9W/m2K</t>
  </si>
  <si>
    <t>2;O25a;   </t>
  </si>
  <si>
    <t>Okno plast 2,4x1,8m, 3 sklo, Umax=0,9W/m2K, dubová kůra</t>
  </si>
  <si>
    <t>9;O25b;   </t>
  </si>
  <si>
    <t>Okno plast 1,2x1,8m, 3 sklo, Umax=0,9W/m2K</t>
  </si>
  <si>
    <t>2;O26a;   </t>
  </si>
  <si>
    <t>Okno plast 1,2x1,8m, 3 sklo, Umax=0,9W/m2K, dubová kůra</t>
  </si>
  <si>
    <t>1;O26b;   </t>
  </si>
  <si>
    <t>Okno plast 3,6x0,9m, 3 sklo, Umax=0,9W/m2K</t>
  </si>
  <si>
    <t>1;O27;   </t>
  </si>
  <si>
    <t>Okno plast 4,82x7,2m, 3 sklo, Umax=0,9W/m2K ovládání táhly</t>
  </si>
  <si>
    <t>1;O28;   </t>
  </si>
  <si>
    <t>Sestava plast 41x4,64m, 3 sklo, Umax=0,9W/m2K</t>
  </si>
  <si>
    <t>1;O29;   </t>
  </si>
  <si>
    <t>Přesun hmot pro truhlářské konstr., výšky do 6 m</t>
  </si>
  <si>
    <t>10,59487;viz hmotnost;   </t>
  </si>
  <si>
    <t>Konstrukce doplňkové stavební (zámečnické)</t>
  </si>
  <si>
    <t>Žebřík - demontáž, prodloužení úchytek kotvení, nátěr a zpětná montáž</t>
  </si>
  <si>
    <t>2;B22;   </t>
  </si>
  <si>
    <t>Přestřešení vchodu</t>
  </si>
  <si>
    <t>1;PŘ2;   </t>
  </si>
  <si>
    <t>1;PŘ3;   </t>
  </si>
  <si>
    <t>Demontáž mříže</t>
  </si>
  <si>
    <t>9;B4;   </t>
  </si>
  <si>
    <t>Montáž vrat otočných do oc.konstrukce, pl.do 6 m2</t>
  </si>
  <si>
    <t>2;V1;   </t>
  </si>
  <si>
    <t>Ocelová vrata 2,4x2,4m zateplená</t>
  </si>
  <si>
    <t>Přesun hmot pro zámečnické konstr., výšky do 6 m</t>
  </si>
  <si>
    <t>0,97624;viz hmotnost;   </t>
  </si>
  <si>
    <t>Malby</t>
  </si>
  <si>
    <t>Malba klih.2x, 1bar.+strop,pačok 2x, míst. do 3,8m</t>
  </si>
  <si>
    <t>148,65;viz omítka vnitřního ostění;   </t>
  </si>
  <si>
    <t>Lešení a stavební výtahy</t>
  </si>
  <si>
    <t>Montáž lešení leh.řad.s podlahami,š.1,2 m, H 30 m</t>
  </si>
  <si>
    <t>43*11,5+6,5*4,5   </t>
  </si>
  <si>
    <t>42*4,5+43*4,5+7,5*4,5   </t>
  </si>
  <si>
    <t>10*4,5+15*10,5   </t>
  </si>
  <si>
    <t>15*10,5+7*4,5   </t>
  </si>
  <si>
    <t>Příplatek za každý měsíc použití lešení k pol.1042</t>
  </si>
  <si>
    <t>1331,5*2;předpoklad 2 měsíce;   </t>
  </si>
  <si>
    <t>Demontáž lešení leh.řad.s podlahami,š.1,2 m,H 30 m</t>
  </si>
  <si>
    <t>1331,5;viz montáž;   </t>
  </si>
  <si>
    <t>Montáž ochranné sítě z umělých vláken</t>
  </si>
  <si>
    <t>133,5;viz montáž lešení;   </t>
  </si>
  <si>
    <t>Příplatek za každý měsíc použití sítí k pol. 4011</t>
  </si>
  <si>
    <t>Demontáž ochranné sítě z umělých vláken</t>
  </si>
  <si>
    <t>Přesun hmot lešení samostatně budovaného</t>
  </si>
  <si>
    <t>27,13597;viz hmotnost;   </t>
  </si>
  <si>
    <t>Různé dokončovací konstrukce a práce na pozemních stavbách</t>
  </si>
  <si>
    <t>Vyčištění ostatních objektů - střecha</t>
  </si>
  <si>
    <t>1210;viz krytina;   </t>
  </si>
  <si>
    <t>Čištění mytím vnějších ploch oken a dveří</t>
  </si>
  <si>
    <t>360;viz zakrývání;   </t>
  </si>
  <si>
    <t>Čištění mytím vnitřních ploch oken a dveří</t>
  </si>
  <si>
    <t>360;viz vnějších;   </t>
  </si>
  <si>
    <t>Průběžný úklid</t>
  </si>
  <si>
    <t>54,75+36+33,8+104,5+36,8+17,25;1pp;   </t>
  </si>
  <si>
    <t>238,7+319,2+26,2+17,5+102,8+15,7+18,5+28,8   </t>
  </si>
  <si>
    <t>2,75+18,8+18,8+26,5+2,75+17,9+2,95+0,96+14,8+34,75+49,9+1,98   </t>
  </si>
  <si>
    <t>;1np;   </t>
  </si>
  <si>
    <t>Závěrečný úklid bez mytí oken a dveří</t>
  </si>
  <si>
    <t>1243,34;viz průběžný úklid;   </t>
  </si>
  <si>
    <t>Bourání konstrukcí</t>
  </si>
  <si>
    <t>Bourání betonových okapových chodníčků</t>
  </si>
  <si>
    <t>(9+42+6,5+6+6,5+4,5)*0,6*0,15;B2;   </t>
  </si>
  <si>
    <t>Bourání výplní z kopilitu</t>
  </si>
  <si>
    <t>4,82*2,4;B64;   </t>
  </si>
  <si>
    <t>4,86*2,2*7+1,14*4,64*6;B66;   </t>
  </si>
  <si>
    <t>Vyvěšení dřevěných okenních křídel pl. do 1,5 m2</t>
  </si>
  <si>
    <t>11*2;B59;   </t>
  </si>
  <si>
    <t>3*1;B62;   </t>
  </si>
  <si>
    <t>12;B4;   </t>
  </si>
  <si>
    <t>Vybourání dřevěných rámů oken jednoduch. pl. 1 m2</t>
  </si>
  <si>
    <t>1,2*0,63*12;B4;   </t>
  </si>
  <si>
    <t>Vyvěšení dřevěných okenních křídel pl. nad 1,5 m2</t>
  </si>
  <si>
    <t>2+18;B58;   </t>
  </si>
  <si>
    <t>1*3;B60;   </t>
  </si>
  <si>
    <t>Vybourání dřevěných rámů oken jednoduch. nad 4 m2</t>
  </si>
  <si>
    <t>2,4*1,8*(1+9);B58;   </t>
  </si>
  <si>
    <t>2,1*1,8*11;B59;   </t>
  </si>
  <si>
    <t>Vybourání dřevěných rámů oken jednoduch. pl. 4 m2</t>
  </si>
  <si>
    <t>1,2*1,8*(2+1);B60;   </t>
  </si>
  <si>
    <t>3,6*0,9;B62;   </t>
  </si>
  <si>
    <t>Vyvěšení, zavěšení kovových křídel dveří pl. 2 m2</t>
  </si>
  <si>
    <t>2*1;B69;   </t>
  </si>
  <si>
    <t>Vybourání kovových dveřních zárubní pl. nad 2 m2</t>
  </si>
  <si>
    <t>1,65*1,97;B69;   </t>
  </si>
  <si>
    <t>Vyvěšení, zavěšení kovových křídel oken pl. 1,5 m2</t>
  </si>
  <si>
    <t>4*2;B64;   </t>
  </si>
  <si>
    <t>4*2*7;B66;   </t>
  </si>
  <si>
    <t>Vybourání kovových rámů oken jednod. nad 4 m2</t>
  </si>
  <si>
    <t>4,82*1,2*2;B64;   </t>
  </si>
  <si>
    <t>4,86*1,2*2*7;B66;   </t>
  </si>
  <si>
    <t>Vyvěšení, zavěšení kovových křídel vrat do 4 m2</t>
  </si>
  <si>
    <t>2*2;B68;   </t>
  </si>
  <si>
    <t>Vybourání kovových vrat plochy nad 5 m2</t>
  </si>
  <si>
    <t>2,4*2,4*2;B68;   </t>
  </si>
  <si>
    <t>Bourání parapetů dřevěných</t>
  </si>
  <si>
    <t>102,52;viz vnější parapety;   </t>
  </si>
  <si>
    <t>Prorážení otvorů a ostatní bourací práce</t>
  </si>
  <si>
    <t>Odsekání vnějších obkladů stěn nad 2 m2</t>
  </si>
  <si>
    <t>43*3,1-1,65*1,97*2+6,5*0,3   </t>
  </si>
  <si>
    <t>50*0,3   </t>
  </si>
  <si>
    <t>15*1,2   </t>
  </si>
  <si>
    <t>8,5*2+6*0,3+7*0,3   </t>
  </si>
  <si>
    <t>;B1;   </t>
  </si>
  <si>
    <t>Ostatní přesuny hmot</t>
  </si>
  <si>
    <t>Přesun hmot pro opravy a údržbu do výšky 12 m</t>
  </si>
  <si>
    <t>71,29152;viz hmotnost;   </t>
  </si>
  <si>
    <t>Osetí povrchu trávou</t>
  </si>
  <si>
    <t>Osetí povrchu trávou včetně dodávky osiva</t>
  </si>
  <si>
    <t>45;viz chodník;   </t>
  </si>
  <si>
    <t>Přesuny sutí</t>
  </si>
  <si>
    <t>Svislá doprava suti a vybour. hmot za 2.NP a 1.PP</t>
  </si>
  <si>
    <t>66,51947;viz hmotnost;   </t>
  </si>
  <si>
    <t>Vnitrostaveništní doprava suti do 10 m</t>
  </si>
  <si>
    <t>Vodorovná doprava suti po suchu do 50 m</t>
  </si>
  <si>
    <t>Nakládání vybour.hmot na doprav.prostředky</t>
  </si>
  <si>
    <t>Odvoz suti a vybour. hmot na skládku do 1 km</t>
  </si>
  <si>
    <t>Příplatek k odvozu za každý další 1 km</t>
  </si>
  <si>
    <t>66,51947*19;viz hmotnost-odvoz celkem do 20km;   </t>
  </si>
  <si>
    <t>Poplatek za skládku suti - asfaltové pásy</t>
  </si>
  <si>
    <t>19,3525;viz hmotnost;   </t>
  </si>
  <si>
    <t>Poplatek za skládku stavební suti</t>
  </si>
  <si>
    <t>47,17;viz hmotnost;   </t>
  </si>
  <si>
    <t>Doba výstavby:</t>
  </si>
  <si>
    <t>Začátek výstavby:</t>
  </si>
  <si>
    <t>Konec výstavby:</t>
  </si>
  <si>
    <t>Zpracováno dne:</t>
  </si>
  <si>
    <t>15.10.2019</t>
  </si>
  <si>
    <t>MJ</t>
  </si>
  <si>
    <t>m2</t>
  </si>
  <si>
    <t>m3</t>
  </si>
  <si>
    <t>kompl</t>
  </si>
  <si>
    <t>m</t>
  </si>
  <si>
    <t>kus</t>
  </si>
  <si>
    <t>t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</si>
  <si>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</si>
  <si>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</si>
  <si>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</si>
  <si>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</si>
  <si>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</si>
  <si>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</si>
  <si>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</si>
  <si>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Město Cheb</t>
  </si>
  <si>
    <t>Kamila Možná</t>
  </si>
  <si>
    <t>Dle výběrového řízení</t>
  </si>
  <si>
    <t>Náklady (Kč)</t>
  </si>
  <si>
    <t>Dodávka</t>
  </si>
  <si>
    <t>Celkem:</t>
  </si>
  <si>
    <t>Montáž</t>
  </si>
  <si>
    <t>Celkem</t>
  </si>
  <si>
    <t>Cenová</t>
  </si>
  <si>
    <t>soustava</t>
  </si>
  <si>
    <t>RTS II / 2019</t>
  </si>
  <si>
    <t>RTS I / 2020</t>
  </si>
  <si>
    <t>RTS I / 2019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</si>
  <si>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</si>
  <si>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</si>
  <si>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</si>
  <si>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</si>
  <si>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</si>
  <si>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</si>
  <si>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</si>
  <si>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</si>
  <si>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</si>
  <si>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1_</t>
  </si>
  <si>
    <t>13_</t>
  </si>
  <si>
    <t>16_</t>
  </si>
  <si>
    <t>17_</t>
  </si>
  <si>
    <t>2_</t>
  </si>
  <si>
    <t>59_</t>
  </si>
  <si>
    <t>61_</t>
  </si>
  <si>
    <t>62_</t>
  </si>
  <si>
    <t>64_</t>
  </si>
  <si>
    <t>712_</t>
  </si>
  <si>
    <t>713_</t>
  </si>
  <si>
    <t>721_</t>
  </si>
  <si>
    <t>728_</t>
  </si>
  <si>
    <t>763_</t>
  </si>
  <si>
    <t>764_</t>
  </si>
  <si>
    <t>766_</t>
  </si>
  <si>
    <t>767_</t>
  </si>
  <si>
    <t>784_</t>
  </si>
  <si>
    <t>94_</t>
  </si>
  <si>
    <t>95_</t>
  </si>
  <si>
    <t>96_</t>
  </si>
  <si>
    <t>97_</t>
  </si>
  <si>
    <t>H99_</t>
  </si>
  <si>
    <t>M46_</t>
  </si>
  <si>
    <t>S_</t>
  </si>
  <si>
    <t>5_</t>
  </si>
  <si>
    <t>6_</t>
  </si>
  <si>
    <t>71_</t>
  </si>
  <si>
    <t>72_</t>
  </si>
  <si>
    <t>76_</t>
  </si>
  <si>
    <t>78_</t>
  </si>
  <si>
    <t>9_</t>
  </si>
  <si>
    <t>_</t>
  </si>
  <si>
    <t>MAT</t>
  </si>
  <si>
    <t>WORK</t>
  </si>
  <si>
    <t>CELK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</si>
  <si>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</si>
  <si>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</si>
  <si>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</si>
  <si>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</si>
  <si>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</si>
  <si>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</si>
  <si>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</si>
  <si>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</si>
  <si>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</si>
  <si>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</si>
  <si>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</si>
  <si>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</si>
  <si>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</si>
  <si>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</si>
  <si>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</si>
  <si>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</si>
  <si>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</si>
  <si>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</si>
  <si>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</si>
  <si>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</si>
  <si>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</si>
  <si>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</si>
  <si>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</si>
  <si>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</si>
  <si>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</si>
  <si>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</si>
  <si>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</si>
  <si>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</si>
  <si>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</si>
  <si>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</si>
  <si>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</si>
  <si>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</si>
  <si>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</si>
  <si>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</si>
  <si>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</si>
  <si>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</si>
  <si>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</si>
  <si>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</si>
  <si>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</si>
  <si>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</si>
  <si>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</si>
  <si>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</si>
  <si>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</si>
  <si>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</si>
  <si>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Závětrná lišta z poplastovaného plechu rš 250 mm</t>
  </si>
  <si>
    <t>Rohová lišta vnější z poplastovaného plechu RŠ 100 mm</t>
  </si>
  <si>
    <t>Rohová lišta vnitřní z poplastovaného plechu RŠ 100 mm</t>
  </si>
  <si>
    <t>Pás modif. asfalt samolep s vložkou ze skleněné tkaniny tl. 3mm</t>
  </si>
  <si>
    <t>1210</t>
  </si>
  <si>
    <t>Geotextilie netkaná 300 g/m2</t>
  </si>
  <si>
    <t>Fólie izolační PVC-P s výztužnou vložkou PES, tl. 1,5 mm</t>
  </si>
  <si>
    <t>Deska z minerální plsti tl. 160 mm, min. objemová hmotnost 30 kg/m3</t>
  </si>
  <si>
    <t>8A</t>
  </si>
  <si>
    <t>Elektromontáže</t>
  </si>
  <si>
    <t>viz samostatný rozpočet Elektroinstalace Objekt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</si>
</sst>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8" fillId="2" borderId="7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11" fillId="3" borderId="30" xfId="0" applyNumberFormat="1" applyFont="1" applyFill="1" applyBorder="1" applyAlignment="1" applyProtection="1">
      <alignment horizontal="center" vertical="center"/>
    </xf>
    <xf numFmtId="49" fontId="12" fillId="0" borderId="31" xfId="0" applyNumberFormat="1" applyFont="1" applyFill="1" applyBorder="1" applyAlignment="1" applyProtection="1">
      <alignment horizontal="left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0" fontId="1" fillId="0" borderId="34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3" fillId="0" borderId="3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28" xfId="0" applyNumberFormat="1" applyFont="1" applyFill="1" applyBorder="1" applyAlignment="1" applyProtection="1">
      <alignment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9" fontId="13" fillId="0" borderId="30" xfId="0" applyNumberFormat="1" applyFont="1" applyFill="1" applyBorder="1" applyAlignment="1" applyProtection="1">
      <alignment horizontal="right" vertical="center"/>
    </xf>
    <xf numFmtId="4" fontId="13" fillId="0" borderId="20" xfId="0" applyNumberFormat="1" applyFont="1" applyFill="1" applyBorder="1" applyAlignment="1" applyProtection="1">
      <alignment horizontal="righ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33" xfId="0" applyNumberFormat="1" applyFont="1" applyFill="1" applyBorder="1" applyAlignment="1" applyProtection="1">
      <alignment vertical="center"/>
    </xf>
    <xf numFmtId="4" fontId="12" fillId="3" borderId="37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8" fillId="2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0" fontId="8" fillId="2" borderId="7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13" fillId="0" borderId="27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9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2" fillId="3" borderId="33" xfId="0" applyNumberFormat="1" applyFont="1" applyFill="1" applyBorder="1" applyAlignment="1" applyProtection="1">
      <alignment horizontal="left" vertical="center"/>
    </xf>
    <xf numFmtId="0" fontId="12" fillId="3" borderId="29" xfId="0" applyNumberFormat="1" applyFont="1" applyFill="1" applyBorder="1" applyAlignment="1" applyProtection="1">
      <alignment horizontal="left" vertical="center"/>
    </xf>
    <xf numFmtId="49" fontId="13" fillId="0" borderId="35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2" fillId="0" borderId="37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3" fillId="0" borderId="37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center" vertical="center"/>
    </xf>
    <xf numFmtId="0" fontId="10" fillId="0" borderId="29" xfId="0" applyNumberFormat="1" applyFont="1" applyFill="1" applyBorder="1" applyAlignment="1" applyProtection="1">
      <alignment horizontal="center" vertical="center"/>
    </xf>
    <xf numFmtId="49" fontId="14" fillId="0" borderId="33" xfId="0" applyNumberFormat="1" applyFont="1" applyFill="1" applyBorder="1" applyAlignment="1" applyProtection="1">
      <alignment horizontal="left" vertical="center"/>
    </xf>
    <xf numFmtId="0" fontId="14" fillId="0" borderId="37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0" fontId="1" fillId="0" borderId="4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83"/>
  <sheetViews>
    <sheetView tabSelected="1" zoomScale="85" zoomScaleNormal="85" workbookViewId="0">
      <pane ySplit="11" topLeftCell="A27" activePane="bottomLeft" state="frozenSplit"/>
      <selection pane="bottomLeft" activeCell="H37" sqref="H37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81.7109375" customWidth="1"/>
    <col min="6" max="6" width="5.85546875" customWidth="1"/>
    <col min="7" max="7" width="12.85546875" customWidth="1"/>
    <col min="8" max="8" width="12" customWidth="1"/>
    <col min="9" max="11" width="14.28515625" customWidth="1"/>
    <col min="12" max="12" width="11.7109375" customWidth="1"/>
    <col min="25" max="62" width="12.140625" hidden="1" customWidth="1"/>
  </cols>
  <sheetData>
    <row r="1" spans="1:62" ht="72.95" customHeight="1" x14ac:dyDescent="0.3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62" x14ac:dyDescent="0.2">
      <c r="A2" s="90" t="s">
        <v>1</v>
      </c>
      <c r="B2" s="91"/>
      <c r="C2" s="92" t="s">
        <v>271</v>
      </c>
      <c r="D2" s="94" t="s">
        <v>619</v>
      </c>
      <c r="E2" s="91"/>
      <c r="F2" s="94" t="s">
        <v>6</v>
      </c>
      <c r="G2" s="91"/>
      <c r="H2" s="95" t="s">
        <v>632</v>
      </c>
      <c r="I2" s="95" t="s">
        <v>638</v>
      </c>
      <c r="J2" s="91"/>
      <c r="K2" s="91"/>
      <c r="L2" s="96"/>
      <c r="M2" s="30"/>
    </row>
    <row r="3" spans="1:62" x14ac:dyDescent="0.2">
      <c r="A3" s="87"/>
      <c r="B3" s="65"/>
      <c r="C3" s="93"/>
      <c r="D3" s="65"/>
      <c r="E3" s="65"/>
      <c r="F3" s="65"/>
      <c r="G3" s="65"/>
      <c r="H3" s="65"/>
      <c r="I3" s="65"/>
      <c r="J3" s="65"/>
      <c r="K3" s="65"/>
      <c r="L3" s="85"/>
      <c r="M3" s="30"/>
    </row>
    <row r="4" spans="1:62" x14ac:dyDescent="0.2">
      <c r="A4" s="81" t="s">
        <v>2</v>
      </c>
      <c r="B4" s="65"/>
      <c r="C4" s="64" t="s">
        <v>272</v>
      </c>
      <c r="D4" s="84" t="s">
        <v>620</v>
      </c>
      <c r="E4" s="65"/>
      <c r="F4" s="84" t="s">
        <v>6</v>
      </c>
      <c r="G4" s="65"/>
      <c r="H4" s="64" t="s">
        <v>633</v>
      </c>
      <c r="I4" s="64" t="s">
        <v>639</v>
      </c>
      <c r="J4" s="65"/>
      <c r="K4" s="65"/>
      <c r="L4" s="85"/>
      <c r="M4" s="30"/>
    </row>
    <row r="5" spans="1:62" x14ac:dyDescent="0.2">
      <c r="A5" s="87"/>
      <c r="B5" s="65"/>
      <c r="C5" s="65"/>
      <c r="D5" s="65"/>
      <c r="E5" s="65"/>
      <c r="F5" s="65"/>
      <c r="G5" s="65"/>
      <c r="H5" s="65"/>
      <c r="I5" s="65"/>
      <c r="J5" s="65"/>
      <c r="K5" s="65"/>
      <c r="L5" s="85"/>
      <c r="M5" s="30"/>
    </row>
    <row r="6" spans="1:62" x14ac:dyDescent="0.2">
      <c r="A6" s="81" t="s">
        <v>3</v>
      </c>
      <c r="B6" s="65"/>
      <c r="C6" s="64" t="s">
        <v>273</v>
      </c>
      <c r="D6" s="84" t="s">
        <v>621</v>
      </c>
      <c r="E6" s="65"/>
      <c r="F6" s="84" t="s">
        <v>6</v>
      </c>
      <c r="G6" s="65"/>
      <c r="H6" s="64" t="s">
        <v>634</v>
      </c>
      <c r="I6" s="64" t="s">
        <v>640</v>
      </c>
      <c r="J6" s="65"/>
      <c r="K6" s="65"/>
      <c r="L6" s="85"/>
      <c r="M6" s="30"/>
    </row>
    <row r="7" spans="1:62" x14ac:dyDescent="0.2">
      <c r="A7" s="87"/>
      <c r="B7" s="65"/>
      <c r="C7" s="65"/>
      <c r="D7" s="65"/>
      <c r="E7" s="65"/>
      <c r="F7" s="65"/>
      <c r="G7" s="65"/>
      <c r="H7" s="65"/>
      <c r="I7" s="65"/>
      <c r="J7" s="65"/>
      <c r="K7" s="65"/>
      <c r="L7" s="85"/>
      <c r="M7" s="30"/>
    </row>
    <row r="8" spans="1:62" x14ac:dyDescent="0.2">
      <c r="A8" s="81" t="s">
        <v>4</v>
      </c>
      <c r="B8" s="65"/>
      <c r="C8" s="64" t="s">
        <v>6</v>
      </c>
      <c r="D8" s="84" t="s">
        <v>622</v>
      </c>
      <c r="E8" s="65"/>
      <c r="F8" s="84" t="s">
        <v>623</v>
      </c>
      <c r="G8" s="65"/>
      <c r="H8" s="64" t="s">
        <v>635</v>
      </c>
      <c r="I8" s="64" t="s">
        <v>639</v>
      </c>
      <c r="J8" s="65"/>
      <c r="K8" s="65"/>
      <c r="L8" s="85"/>
      <c r="M8" s="30"/>
    </row>
    <row r="9" spans="1:62" x14ac:dyDescent="0.2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6"/>
      <c r="M9" s="30"/>
    </row>
    <row r="10" spans="1:62" x14ac:dyDescent="0.2">
      <c r="A10" s="1" t="s">
        <v>5</v>
      </c>
      <c r="B10" s="10" t="s">
        <v>134</v>
      </c>
      <c r="C10" s="70" t="s">
        <v>274</v>
      </c>
      <c r="D10" s="71"/>
      <c r="E10" s="72"/>
      <c r="F10" s="10" t="s">
        <v>624</v>
      </c>
      <c r="G10" s="14" t="s">
        <v>631</v>
      </c>
      <c r="H10" s="19" t="s">
        <v>636</v>
      </c>
      <c r="I10" s="73" t="s">
        <v>641</v>
      </c>
      <c r="J10" s="74"/>
      <c r="K10" s="75"/>
      <c r="L10" s="24" t="s">
        <v>646</v>
      </c>
      <c r="M10" s="31"/>
    </row>
    <row r="11" spans="1:62" x14ac:dyDescent="0.2">
      <c r="A11" s="2" t="s">
        <v>6</v>
      </c>
      <c r="B11" s="11" t="s">
        <v>6</v>
      </c>
      <c r="C11" s="76" t="s">
        <v>275</v>
      </c>
      <c r="D11" s="77"/>
      <c r="E11" s="78"/>
      <c r="F11" s="11" t="s">
        <v>6</v>
      </c>
      <c r="G11" s="11" t="s">
        <v>6</v>
      </c>
      <c r="H11" s="20" t="s">
        <v>637</v>
      </c>
      <c r="I11" s="21" t="s">
        <v>642</v>
      </c>
      <c r="J11" s="22" t="s">
        <v>644</v>
      </c>
      <c r="K11" s="23" t="s">
        <v>645</v>
      </c>
      <c r="L11" s="25" t="s">
        <v>647</v>
      </c>
      <c r="M11" s="31"/>
      <c r="Z11" s="28" t="s">
        <v>651</v>
      </c>
      <c r="AA11" s="28" t="s">
        <v>652</v>
      </c>
      <c r="AB11" s="28" t="s">
        <v>653</v>
      </c>
      <c r="AC11" s="28" t="s">
        <v>654</v>
      </c>
      <c r="AD11" s="28" t="s">
        <v>655</v>
      </c>
      <c r="AE11" s="28" t="s">
        <v>656</v>
      </c>
      <c r="AF11" s="28" t="s">
        <v>657</v>
      </c>
      <c r="AG11" s="28" t="s">
        <v>658</v>
      </c>
      <c r="AH11" s="28" t="s">
        <v>659</v>
      </c>
      <c r="BH11" s="28" t="s">
        <v>693</v>
      </c>
      <c r="BI11" s="28" t="s">
        <v>694</v>
      </c>
      <c r="BJ11" s="28" t="s">
        <v>695</v>
      </c>
    </row>
    <row r="12" spans="1:62" x14ac:dyDescent="0.2">
      <c r="A12" s="3"/>
      <c r="B12" s="12" t="s">
        <v>7</v>
      </c>
      <c r="C12" s="79" t="s">
        <v>276</v>
      </c>
      <c r="D12" s="80"/>
      <c r="E12" s="80"/>
      <c r="F12" s="3" t="s">
        <v>6</v>
      </c>
      <c r="G12" s="3" t="s">
        <v>6</v>
      </c>
      <c r="H12" s="3" t="s">
        <v>6</v>
      </c>
      <c r="I12" s="34">
        <f>SUM(I13:I13)</f>
        <v>0</v>
      </c>
      <c r="J12" s="34">
        <f>SUM(J13:J13)</f>
        <v>0</v>
      </c>
      <c r="K12" s="34">
        <f>SUM(K13:K13)</f>
        <v>0</v>
      </c>
      <c r="L12" s="26"/>
      <c r="AI12" s="28"/>
      <c r="AS12" s="35">
        <f>SUM(AJ13:AJ13)</f>
        <v>0</v>
      </c>
      <c r="AT12" s="35">
        <f>SUM(AK13:AK13)</f>
        <v>0</v>
      </c>
      <c r="AU12" s="35">
        <f>SUM(AL13:AL13)</f>
        <v>0</v>
      </c>
    </row>
    <row r="13" spans="1:62" x14ac:dyDescent="0.2">
      <c r="A13" s="4" t="s">
        <v>7</v>
      </c>
      <c r="B13" s="4" t="s">
        <v>135</v>
      </c>
      <c r="C13" s="56" t="s">
        <v>277</v>
      </c>
      <c r="D13" s="57"/>
      <c r="E13" s="57"/>
      <c r="F13" s="4" t="s">
        <v>625</v>
      </c>
      <c r="G13" s="15">
        <v>45</v>
      </c>
      <c r="H13" s="15">
        <v>0</v>
      </c>
      <c r="I13" s="15">
        <f>G13*AO13</f>
        <v>0</v>
      </c>
      <c r="J13" s="15">
        <f>G13*AP13</f>
        <v>0</v>
      </c>
      <c r="K13" s="15">
        <f>G13*H13</f>
        <v>0</v>
      </c>
      <c r="L13" s="27" t="s">
        <v>648</v>
      </c>
      <c r="Z13" s="32">
        <f>IF(AQ13="5",BJ13,0)</f>
        <v>0</v>
      </c>
      <c r="AB13" s="32">
        <f>IF(AQ13="1",BH13,0)</f>
        <v>0</v>
      </c>
      <c r="AC13" s="32">
        <f>IF(AQ13="1",BI13,0)</f>
        <v>0</v>
      </c>
      <c r="AD13" s="32">
        <f>IF(AQ13="7",BH13,0)</f>
        <v>0</v>
      </c>
      <c r="AE13" s="32">
        <f>IF(AQ13="7",BI13,0)</f>
        <v>0</v>
      </c>
      <c r="AF13" s="32">
        <f>IF(AQ13="2",BH13,0)</f>
        <v>0</v>
      </c>
      <c r="AG13" s="32">
        <f>IF(AQ13="2",BI13,0)</f>
        <v>0</v>
      </c>
      <c r="AH13" s="32">
        <f>IF(AQ13="0",BJ13,0)</f>
        <v>0</v>
      </c>
      <c r="AI13" s="28"/>
      <c r="AJ13" s="15">
        <f>IF(AN13=0,K13,0)</f>
        <v>0</v>
      </c>
      <c r="AK13" s="15">
        <f>IF(AN13=15,K13,0)</f>
        <v>0</v>
      </c>
      <c r="AL13" s="15">
        <f>IF(AN13=21,K13,0)</f>
        <v>0</v>
      </c>
      <c r="AN13" s="32">
        <v>21</v>
      </c>
      <c r="AO13" s="32">
        <f>H13*0</f>
        <v>0</v>
      </c>
      <c r="AP13" s="32">
        <f>H13*(1-0)</f>
        <v>0</v>
      </c>
      <c r="AQ13" s="27" t="s">
        <v>7</v>
      </c>
      <c r="AV13" s="32">
        <f>AW13+AX13</f>
        <v>0</v>
      </c>
      <c r="AW13" s="32">
        <f>G13*AO13</f>
        <v>0</v>
      </c>
      <c r="AX13" s="32">
        <f>G13*AP13</f>
        <v>0</v>
      </c>
      <c r="AY13" s="33" t="s">
        <v>660</v>
      </c>
      <c r="AZ13" s="33" t="s">
        <v>660</v>
      </c>
      <c r="BA13" s="28" t="s">
        <v>692</v>
      </c>
      <c r="BC13" s="32">
        <f>AW13+AX13</f>
        <v>0</v>
      </c>
      <c r="BD13" s="32">
        <f>H13/(100-BE13)*100</f>
        <v>0</v>
      </c>
      <c r="BE13" s="32">
        <v>0</v>
      </c>
      <c r="BF13" s="32">
        <f>13</f>
        <v>13</v>
      </c>
      <c r="BH13" s="15">
        <f>G13*AO13</f>
        <v>0</v>
      </c>
      <c r="BI13" s="15">
        <f>G13*AP13</f>
        <v>0</v>
      </c>
      <c r="BJ13" s="15">
        <f>G13*H13</f>
        <v>0</v>
      </c>
    </row>
    <row r="14" spans="1:62" x14ac:dyDescent="0.2">
      <c r="C14" s="58" t="s">
        <v>278</v>
      </c>
      <c r="D14" s="59"/>
      <c r="E14" s="59"/>
      <c r="G14" s="16">
        <v>45</v>
      </c>
    </row>
    <row r="15" spans="1:62" x14ac:dyDescent="0.2">
      <c r="A15" s="5"/>
      <c r="B15" s="13" t="s">
        <v>19</v>
      </c>
      <c r="C15" s="66" t="s">
        <v>279</v>
      </c>
      <c r="D15" s="67"/>
      <c r="E15" s="67"/>
      <c r="F15" s="5" t="s">
        <v>6</v>
      </c>
      <c r="G15" s="5" t="s">
        <v>6</v>
      </c>
      <c r="H15" s="5" t="s">
        <v>6</v>
      </c>
      <c r="I15" s="35">
        <f>SUM(I16:I16)</f>
        <v>0</v>
      </c>
      <c r="J15" s="35">
        <f>SUM(J16:J16)</f>
        <v>0</v>
      </c>
      <c r="K15" s="35">
        <f>SUM(K16:K16)</f>
        <v>0</v>
      </c>
      <c r="L15" s="28"/>
      <c r="AI15" s="28"/>
      <c r="AS15" s="35">
        <f>SUM(AJ16:AJ16)</f>
        <v>0</v>
      </c>
      <c r="AT15" s="35">
        <f>SUM(AK16:AK16)</f>
        <v>0</v>
      </c>
      <c r="AU15" s="35">
        <f>SUM(AL16:AL16)</f>
        <v>0</v>
      </c>
    </row>
    <row r="16" spans="1:62" x14ac:dyDescent="0.2">
      <c r="A16" s="4" t="s">
        <v>8</v>
      </c>
      <c r="B16" s="4" t="s">
        <v>136</v>
      </c>
      <c r="C16" s="56" t="s">
        <v>280</v>
      </c>
      <c r="D16" s="57"/>
      <c r="E16" s="57"/>
      <c r="F16" s="4" t="s">
        <v>626</v>
      </c>
      <c r="G16" s="15">
        <v>11.175000000000001</v>
      </c>
      <c r="H16" s="15">
        <v>0</v>
      </c>
      <c r="I16" s="15">
        <f>G16*AO16</f>
        <v>0</v>
      </c>
      <c r="J16" s="15">
        <f>G16*AP16</f>
        <v>0</v>
      </c>
      <c r="K16" s="15">
        <f>G16*H16</f>
        <v>0</v>
      </c>
      <c r="L16" s="27" t="s">
        <v>648</v>
      </c>
      <c r="Z16" s="32">
        <f>IF(AQ16="5",BJ16,0)</f>
        <v>0</v>
      </c>
      <c r="AB16" s="32">
        <f>IF(AQ16="1",BH16,0)</f>
        <v>0</v>
      </c>
      <c r="AC16" s="32">
        <f>IF(AQ16="1",BI16,0)</f>
        <v>0</v>
      </c>
      <c r="AD16" s="32">
        <f>IF(AQ16="7",BH16,0)</f>
        <v>0</v>
      </c>
      <c r="AE16" s="32">
        <f>IF(AQ16="7",BI16,0)</f>
        <v>0</v>
      </c>
      <c r="AF16" s="32">
        <f>IF(AQ16="2",BH16,0)</f>
        <v>0</v>
      </c>
      <c r="AG16" s="32">
        <f>IF(AQ16="2",BI16,0)</f>
        <v>0</v>
      </c>
      <c r="AH16" s="32">
        <f>IF(AQ16="0",BJ16,0)</f>
        <v>0</v>
      </c>
      <c r="AI16" s="28"/>
      <c r="AJ16" s="15">
        <f>IF(AN16=0,K16,0)</f>
        <v>0</v>
      </c>
      <c r="AK16" s="15">
        <f>IF(AN16=15,K16,0)</f>
        <v>0</v>
      </c>
      <c r="AL16" s="15">
        <f>IF(AN16=21,K16,0)</f>
        <v>0</v>
      </c>
      <c r="AN16" s="32">
        <v>21</v>
      </c>
      <c r="AO16" s="32">
        <f>H16*0</f>
        <v>0</v>
      </c>
      <c r="AP16" s="32">
        <f>H16*(1-0)</f>
        <v>0</v>
      </c>
      <c r="AQ16" s="27" t="s">
        <v>7</v>
      </c>
      <c r="AV16" s="32">
        <f>AW16+AX16</f>
        <v>0</v>
      </c>
      <c r="AW16" s="32">
        <f>G16*AO16</f>
        <v>0</v>
      </c>
      <c r="AX16" s="32">
        <f>G16*AP16</f>
        <v>0</v>
      </c>
      <c r="AY16" s="33" t="s">
        <v>661</v>
      </c>
      <c r="AZ16" s="33" t="s">
        <v>660</v>
      </c>
      <c r="BA16" s="28" t="s">
        <v>692</v>
      </c>
      <c r="BC16" s="32">
        <f>AW16+AX16</f>
        <v>0</v>
      </c>
      <c r="BD16" s="32">
        <f>H16/(100-BE16)*100</f>
        <v>0</v>
      </c>
      <c r="BE16" s="32">
        <v>0</v>
      </c>
      <c r="BF16" s="32">
        <f>16</f>
        <v>16</v>
      </c>
      <c r="BH16" s="15">
        <f>G16*AO16</f>
        <v>0</v>
      </c>
      <c r="BI16" s="15">
        <f>G16*AP16</f>
        <v>0</v>
      </c>
      <c r="BJ16" s="15">
        <f>G16*H16</f>
        <v>0</v>
      </c>
    </row>
    <row r="17" spans="1:62" x14ac:dyDescent="0.2">
      <c r="C17" s="58" t="s">
        <v>281</v>
      </c>
      <c r="D17" s="59"/>
      <c r="E17" s="59"/>
      <c r="G17" s="16">
        <v>11.175000000000001</v>
      </c>
    </row>
    <row r="18" spans="1:62" x14ac:dyDescent="0.2">
      <c r="A18" s="5"/>
      <c r="B18" s="13" t="s">
        <v>22</v>
      </c>
      <c r="C18" s="66" t="s">
        <v>282</v>
      </c>
      <c r="D18" s="67"/>
      <c r="E18" s="67"/>
      <c r="F18" s="5" t="s">
        <v>6</v>
      </c>
      <c r="G18" s="5" t="s">
        <v>6</v>
      </c>
      <c r="H18" s="5" t="s">
        <v>6</v>
      </c>
      <c r="I18" s="35">
        <f>SUM(I19:I22)</f>
        <v>0</v>
      </c>
      <c r="J18" s="35">
        <f>SUM(J19:J22)</f>
        <v>0</v>
      </c>
      <c r="K18" s="35">
        <f>SUM(K19:K22)</f>
        <v>0</v>
      </c>
      <c r="L18" s="28"/>
      <c r="AI18" s="28"/>
      <c r="AS18" s="35">
        <f>SUM(AJ19:AJ22)</f>
        <v>0</v>
      </c>
      <c r="AT18" s="35">
        <f>SUM(AK19:AK22)</f>
        <v>0</v>
      </c>
      <c r="AU18" s="35">
        <f>SUM(AL19:AL22)</f>
        <v>0</v>
      </c>
    </row>
    <row r="19" spans="1:62" x14ac:dyDescent="0.2">
      <c r="A19" s="4" t="s">
        <v>9</v>
      </c>
      <c r="B19" s="4" t="s">
        <v>137</v>
      </c>
      <c r="C19" s="56" t="s">
        <v>283</v>
      </c>
      <c r="D19" s="57"/>
      <c r="E19" s="57"/>
      <c r="F19" s="4" t="s">
        <v>626</v>
      </c>
      <c r="G19" s="15">
        <v>3.129</v>
      </c>
      <c r="H19" s="15">
        <v>0</v>
      </c>
      <c r="I19" s="15">
        <f>G19*AO19</f>
        <v>0</v>
      </c>
      <c r="J19" s="15">
        <f>G19*AP19</f>
        <v>0</v>
      </c>
      <c r="K19" s="15">
        <f>G19*H19</f>
        <v>0</v>
      </c>
      <c r="L19" s="27" t="s">
        <v>648</v>
      </c>
      <c r="Z19" s="32">
        <f>IF(AQ19="5",BJ19,0)</f>
        <v>0</v>
      </c>
      <c r="AB19" s="32">
        <f>IF(AQ19="1",BH19,0)</f>
        <v>0</v>
      </c>
      <c r="AC19" s="32">
        <f>IF(AQ19="1",BI19,0)</f>
        <v>0</v>
      </c>
      <c r="AD19" s="32">
        <f>IF(AQ19="7",BH19,0)</f>
        <v>0</v>
      </c>
      <c r="AE19" s="32">
        <f>IF(AQ19="7",BI19,0)</f>
        <v>0</v>
      </c>
      <c r="AF19" s="32">
        <f>IF(AQ19="2",BH19,0)</f>
        <v>0</v>
      </c>
      <c r="AG19" s="32">
        <f>IF(AQ19="2",BI19,0)</f>
        <v>0</v>
      </c>
      <c r="AH19" s="32">
        <f>IF(AQ19="0",BJ19,0)</f>
        <v>0</v>
      </c>
      <c r="AI19" s="28"/>
      <c r="AJ19" s="15">
        <f>IF(AN19=0,K19,0)</f>
        <v>0</v>
      </c>
      <c r="AK19" s="15">
        <f>IF(AN19=15,K19,0)</f>
        <v>0</v>
      </c>
      <c r="AL19" s="15">
        <f>IF(AN19=21,K19,0)</f>
        <v>0</v>
      </c>
      <c r="AN19" s="32">
        <v>21</v>
      </c>
      <c r="AO19" s="32">
        <f>H19*0</f>
        <v>0</v>
      </c>
      <c r="AP19" s="32">
        <f>H19*(1-0)</f>
        <v>0</v>
      </c>
      <c r="AQ19" s="27" t="s">
        <v>7</v>
      </c>
      <c r="AV19" s="32">
        <f>AW19+AX19</f>
        <v>0</v>
      </c>
      <c r="AW19" s="32">
        <f>G19*AO19</f>
        <v>0</v>
      </c>
      <c r="AX19" s="32">
        <f>G19*AP19</f>
        <v>0</v>
      </c>
      <c r="AY19" s="33" t="s">
        <v>662</v>
      </c>
      <c r="AZ19" s="33" t="s">
        <v>660</v>
      </c>
      <c r="BA19" s="28" t="s">
        <v>692</v>
      </c>
      <c r="BC19" s="32">
        <f>AW19+AX19</f>
        <v>0</v>
      </c>
      <c r="BD19" s="32">
        <f>H19/(100-BE19)*100</f>
        <v>0</v>
      </c>
      <c r="BE19" s="32">
        <v>0</v>
      </c>
      <c r="BF19" s="32">
        <f>19</f>
        <v>19</v>
      </c>
      <c r="BH19" s="15">
        <f>G19*AO19</f>
        <v>0</v>
      </c>
      <c r="BI19" s="15">
        <f>G19*AP19</f>
        <v>0</v>
      </c>
      <c r="BJ19" s="15">
        <f>G19*H19</f>
        <v>0</v>
      </c>
    </row>
    <row r="20" spans="1:62" x14ac:dyDescent="0.2">
      <c r="C20" s="58" t="s">
        <v>284</v>
      </c>
      <c r="D20" s="59"/>
      <c r="E20" s="59"/>
      <c r="G20" s="16">
        <v>11.175000000000001</v>
      </c>
    </row>
    <row r="21" spans="1:62" x14ac:dyDescent="0.2">
      <c r="C21" s="58" t="s">
        <v>285</v>
      </c>
      <c r="D21" s="59"/>
      <c r="E21" s="59"/>
      <c r="G21" s="16">
        <v>-8.0459999999999994</v>
      </c>
    </row>
    <row r="22" spans="1:62" x14ac:dyDescent="0.2">
      <c r="A22" s="4" t="s">
        <v>10</v>
      </c>
      <c r="B22" s="4" t="s">
        <v>138</v>
      </c>
      <c r="C22" s="56" t="s">
        <v>286</v>
      </c>
      <c r="D22" s="57"/>
      <c r="E22" s="57"/>
      <c r="F22" s="4" t="s">
        <v>626</v>
      </c>
      <c r="G22" s="15">
        <v>3.129</v>
      </c>
      <c r="H22" s="15">
        <v>0</v>
      </c>
      <c r="I22" s="15">
        <f>G22*AO22</f>
        <v>0</v>
      </c>
      <c r="J22" s="15">
        <f>G22*AP22</f>
        <v>0</v>
      </c>
      <c r="K22" s="15">
        <f>G22*H22</f>
        <v>0</v>
      </c>
      <c r="L22" s="27" t="s">
        <v>648</v>
      </c>
      <c r="Z22" s="32">
        <f>IF(AQ22="5",BJ22,0)</f>
        <v>0</v>
      </c>
      <c r="AB22" s="32">
        <f>IF(AQ22="1",BH22,0)</f>
        <v>0</v>
      </c>
      <c r="AC22" s="32">
        <f>IF(AQ22="1",BI22,0)</f>
        <v>0</v>
      </c>
      <c r="AD22" s="32">
        <f>IF(AQ22="7",BH22,0)</f>
        <v>0</v>
      </c>
      <c r="AE22" s="32">
        <f>IF(AQ22="7",BI22,0)</f>
        <v>0</v>
      </c>
      <c r="AF22" s="32">
        <f>IF(AQ22="2",BH22,0)</f>
        <v>0</v>
      </c>
      <c r="AG22" s="32">
        <f>IF(AQ22="2",BI22,0)</f>
        <v>0</v>
      </c>
      <c r="AH22" s="32">
        <f>IF(AQ22="0",BJ22,0)</f>
        <v>0</v>
      </c>
      <c r="AI22" s="28"/>
      <c r="AJ22" s="15">
        <f>IF(AN22=0,K22,0)</f>
        <v>0</v>
      </c>
      <c r="AK22" s="15">
        <f>IF(AN22=15,K22,0)</f>
        <v>0</v>
      </c>
      <c r="AL22" s="15">
        <f>IF(AN22=21,K22,0)</f>
        <v>0</v>
      </c>
      <c r="AN22" s="32">
        <v>21</v>
      </c>
      <c r="AO22" s="32">
        <f>H22*0</f>
        <v>0</v>
      </c>
      <c r="AP22" s="32">
        <f>H22*(1-0)</f>
        <v>0</v>
      </c>
      <c r="AQ22" s="27" t="s">
        <v>7</v>
      </c>
      <c r="AV22" s="32">
        <f>AW22+AX22</f>
        <v>0</v>
      </c>
      <c r="AW22" s="32">
        <f>G22*AO22</f>
        <v>0</v>
      </c>
      <c r="AX22" s="32">
        <f>G22*AP22</f>
        <v>0</v>
      </c>
      <c r="AY22" s="33" t="s">
        <v>662</v>
      </c>
      <c r="AZ22" s="33" t="s">
        <v>660</v>
      </c>
      <c r="BA22" s="28" t="s">
        <v>692</v>
      </c>
      <c r="BC22" s="32">
        <f>AW22+AX22</f>
        <v>0</v>
      </c>
      <c r="BD22" s="32">
        <f>H22/(100-BE22)*100</f>
        <v>0</v>
      </c>
      <c r="BE22" s="32">
        <v>0</v>
      </c>
      <c r="BF22" s="32">
        <f>22</f>
        <v>22</v>
      </c>
      <c r="BH22" s="15">
        <f>G22*AO22</f>
        <v>0</v>
      </c>
      <c r="BI22" s="15">
        <f>G22*AP22</f>
        <v>0</v>
      </c>
      <c r="BJ22" s="15">
        <f>G22*H22</f>
        <v>0</v>
      </c>
    </row>
    <row r="23" spans="1:62" x14ac:dyDescent="0.2">
      <c r="C23" s="58" t="s">
        <v>287</v>
      </c>
      <c r="D23" s="59"/>
      <c r="E23" s="59"/>
      <c r="G23" s="16">
        <v>3.129</v>
      </c>
    </row>
    <row r="24" spans="1:62" x14ac:dyDescent="0.2">
      <c r="A24" s="5"/>
      <c r="B24" s="13" t="s">
        <v>23</v>
      </c>
      <c r="C24" s="66" t="s">
        <v>288</v>
      </c>
      <c r="D24" s="67"/>
      <c r="E24" s="67"/>
      <c r="F24" s="5" t="s">
        <v>6</v>
      </c>
      <c r="G24" s="5" t="s">
        <v>6</v>
      </c>
      <c r="H24" s="5" t="s">
        <v>6</v>
      </c>
      <c r="I24" s="35">
        <f>SUM(I25:I30)</f>
        <v>0</v>
      </c>
      <c r="J24" s="35">
        <f>SUM(J25:J30)</f>
        <v>0</v>
      </c>
      <c r="K24" s="35">
        <f>SUM(K25:K30)</f>
        <v>0</v>
      </c>
      <c r="L24" s="28"/>
      <c r="AI24" s="28"/>
      <c r="AS24" s="35">
        <f>SUM(AJ25:AJ30)</f>
        <v>0</v>
      </c>
      <c r="AT24" s="35">
        <f>SUM(AK25:AK30)</f>
        <v>0</v>
      </c>
      <c r="AU24" s="35">
        <f>SUM(AL25:AL30)</f>
        <v>0</v>
      </c>
    </row>
    <row r="25" spans="1:62" x14ac:dyDescent="0.2">
      <c r="A25" s="4" t="s">
        <v>11</v>
      </c>
      <c r="B25" s="4" t="s">
        <v>139</v>
      </c>
      <c r="C25" s="56" t="s">
        <v>289</v>
      </c>
      <c r="D25" s="57"/>
      <c r="E25" s="57"/>
      <c r="F25" s="4" t="s">
        <v>626</v>
      </c>
      <c r="G25" s="15">
        <v>8.0459999999999994</v>
      </c>
      <c r="H25" s="15">
        <v>0</v>
      </c>
      <c r="I25" s="15">
        <f>G25*AO25</f>
        <v>0</v>
      </c>
      <c r="J25" s="15">
        <f>G25*AP25</f>
        <v>0</v>
      </c>
      <c r="K25" s="15">
        <f>G25*H25</f>
        <v>0</v>
      </c>
      <c r="L25" s="27" t="s">
        <v>648</v>
      </c>
      <c r="Z25" s="32">
        <f>IF(AQ25="5",BJ25,0)</f>
        <v>0</v>
      </c>
      <c r="AB25" s="32">
        <f>IF(AQ25="1",BH25,0)</f>
        <v>0</v>
      </c>
      <c r="AC25" s="32">
        <f>IF(AQ25="1",BI25,0)</f>
        <v>0</v>
      </c>
      <c r="AD25" s="32">
        <f>IF(AQ25="7",BH25,0)</f>
        <v>0</v>
      </c>
      <c r="AE25" s="32">
        <f>IF(AQ25="7",BI25,0)</f>
        <v>0</v>
      </c>
      <c r="AF25" s="32">
        <f>IF(AQ25="2",BH25,0)</f>
        <v>0</v>
      </c>
      <c r="AG25" s="32">
        <f>IF(AQ25="2",BI25,0)</f>
        <v>0</v>
      </c>
      <c r="AH25" s="32">
        <f>IF(AQ25="0",BJ25,0)</f>
        <v>0</v>
      </c>
      <c r="AI25" s="28"/>
      <c r="AJ25" s="15">
        <f>IF(AN25=0,K25,0)</f>
        <v>0</v>
      </c>
      <c r="AK25" s="15">
        <f>IF(AN25=15,K25,0)</f>
        <v>0</v>
      </c>
      <c r="AL25" s="15">
        <f>IF(AN25=21,K25,0)</f>
        <v>0</v>
      </c>
      <c r="AN25" s="32">
        <v>21</v>
      </c>
      <c r="AO25" s="32">
        <f>H25*0</f>
        <v>0</v>
      </c>
      <c r="AP25" s="32">
        <f>H25*(1-0)</f>
        <v>0</v>
      </c>
      <c r="AQ25" s="27" t="s">
        <v>7</v>
      </c>
      <c r="AV25" s="32">
        <f>AW25+AX25</f>
        <v>0</v>
      </c>
      <c r="AW25" s="32">
        <f>G25*AO25</f>
        <v>0</v>
      </c>
      <c r="AX25" s="32">
        <f>G25*AP25</f>
        <v>0</v>
      </c>
      <c r="AY25" s="33" t="s">
        <v>663</v>
      </c>
      <c r="AZ25" s="33" t="s">
        <v>660</v>
      </c>
      <c r="BA25" s="28" t="s">
        <v>692</v>
      </c>
      <c r="BC25" s="32">
        <f>AW25+AX25</f>
        <v>0</v>
      </c>
      <c r="BD25" s="32">
        <f>H25/(100-BE25)*100</f>
        <v>0</v>
      </c>
      <c r="BE25" s="32">
        <v>0</v>
      </c>
      <c r="BF25" s="32">
        <f>25</f>
        <v>25</v>
      </c>
      <c r="BH25" s="15">
        <f>G25*AO25</f>
        <v>0</v>
      </c>
      <c r="BI25" s="15">
        <f>G25*AP25</f>
        <v>0</v>
      </c>
      <c r="BJ25" s="15">
        <f>G25*H25</f>
        <v>0</v>
      </c>
    </row>
    <row r="26" spans="1:62" x14ac:dyDescent="0.2">
      <c r="C26" s="58" t="s">
        <v>290</v>
      </c>
      <c r="D26" s="59"/>
      <c r="E26" s="59"/>
      <c r="G26" s="16">
        <v>11.175000000000001</v>
      </c>
    </row>
    <row r="27" spans="1:62" x14ac:dyDescent="0.2">
      <c r="C27" s="58" t="s">
        <v>291</v>
      </c>
      <c r="D27" s="59"/>
      <c r="E27" s="59"/>
      <c r="G27" s="16">
        <v>-3.129</v>
      </c>
    </row>
    <row r="28" spans="1:62" x14ac:dyDescent="0.2">
      <c r="A28" s="4" t="s">
        <v>12</v>
      </c>
      <c r="B28" s="4" t="s">
        <v>140</v>
      </c>
      <c r="C28" s="56" t="s">
        <v>292</v>
      </c>
      <c r="D28" s="57"/>
      <c r="E28" s="57"/>
      <c r="F28" s="4" t="s">
        <v>626</v>
      </c>
      <c r="G28" s="15">
        <v>3.129</v>
      </c>
      <c r="H28" s="15">
        <v>0</v>
      </c>
      <c r="I28" s="15">
        <f>G28*AO28</f>
        <v>0</v>
      </c>
      <c r="J28" s="15">
        <f>G28*AP28</f>
        <v>0</v>
      </c>
      <c r="K28" s="15">
        <f>G28*H28</f>
        <v>0</v>
      </c>
      <c r="L28" s="27" t="s">
        <v>648</v>
      </c>
      <c r="Z28" s="32">
        <f>IF(AQ28="5",BJ28,0)</f>
        <v>0</v>
      </c>
      <c r="AB28" s="32">
        <f>IF(AQ28="1",BH28,0)</f>
        <v>0</v>
      </c>
      <c r="AC28" s="32">
        <f>IF(AQ28="1",BI28,0)</f>
        <v>0</v>
      </c>
      <c r="AD28" s="32">
        <f>IF(AQ28="7",BH28,0)</f>
        <v>0</v>
      </c>
      <c r="AE28" s="32">
        <f>IF(AQ28="7",BI28,0)</f>
        <v>0</v>
      </c>
      <c r="AF28" s="32">
        <f>IF(AQ28="2",BH28,0)</f>
        <v>0</v>
      </c>
      <c r="AG28" s="32">
        <f>IF(AQ28="2",BI28,0)</f>
        <v>0</v>
      </c>
      <c r="AH28" s="32">
        <f>IF(AQ28="0",BJ28,0)</f>
        <v>0</v>
      </c>
      <c r="AI28" s="28"/>
      <c r="AJ28" s="15">
        <f>IF(AN28=0,K28,0)</f>
        <v>0</v>
      </c>
      <c r="AK28" s="15">
        <f>IF(AN28=15,K28,0)</f>
        <v>0</v>
      </c>
      <c r="AL28" s="15">
        <f>IF(AN28=21,K28,0)</f>
        <v>0</v>
      </c>
      <c r="AN28" s="32">
        <v>21</v>
      </c>
      <c r="AO28" s="32">
        <f>H28*0</f>
        <v>0</v>
      </c>
      <c r="AP28" s="32">
        <f>H28*(1-0)</f>
        <v>0</v>
      </c>
      <c r="AQ28" s="27" t="s">
        <v>7</v>
      </c>
      <c r="AV28" s="32">
        <f>AW28+AX28</f>
        <v>0</v>
      </c>
      <c r="AW28" s="32">
        <f>G28*AO28</f>
        <v>0</v>
      </c>
      <c r="AX28" s="32">
        <f>G28*AP28</f>
        <v>0</v>
      </c>
      <c r="AY28" s="33" t="s">
        <v>663</v>
      </c>
      <c r="AZ28" s="33" t="s">
        <v>660</v>
      </c>
      <c r="BA28" s="28" t="s">
        <v>692</v>
      </c>
      <c r="BC28" s="32">
        <f>AW28+AX28</f>
        <v>0</v>
      </c>
      <c r="BD28" s="32">
        <f>H28/(100-BE28)*100</f>
        <v>0</v>
      </c>
      <c r="BE28" s="32">
        <v>0</v>
      </c>
      <c r="BF28" s="32">
        <f>28</f>
        <v>28</v>
      </c>
      <c r="BH28" s="15">
        <f>G28*AO28</f>
        <v>0</v>
      </c>
      <c r="BI28" s="15">
        <f>G28*AP28</f>
        <v>0</v>
      </c>
      <c r="BJ28" s="15">
        <f>G28*H28</f>
        <v>0</v>
      </c>
    </row>
    <row r="29" spans="1:62" x14ac:dyDescent="0.2">
      <c r="C29" s="58" t="s">
        <v>287</v>
      </c>
      <c r="D29" s="59"/>
      <c r="E29" s="59"/>
      <c r="G29" s="16">
        <v>3.129</v>
      </c>
    </row>
    <row r="30" spans="1:62" x14ac:dyDescent="0.2">
      <c r="A30" s="4" t="s">
        <v>13</v>
      </c>
      <c r="B30" s="4" t="s">
        <v>141</v>
      </c>
      <c r="C30" s="56" t="s">
        <v>293</v>
      </c>
      <c r="D30" s="57"/>
      <c r="E30" s="57"/>
      <c r="F30" s="4" t="s">
        <v>626</v>
      </c>
      <c r="G30" s="15">
        <v>3.129</v>
      </c>
      <c r="H30" s="15">
        <v>0</v>
      </c>
      <c r="I30" s="15">
        <f>G30*AO30</f>
        <v>0</v>
      </c>
      <c r="J30" s="15">
        <f>G30*AP30</f>
        <v>0</v>
      </c>
      <c r="K30" s="15">
        <f>G30*H30</f>
        <v>0</v>
      </c>
      <c r="L30" s="27" t="s">
        <v>648</v>
      </c>
      <c r="Z30" s="32">
        <f>IF(AQ30="5",BJ30,0)</f>
        <v>0</v>
      </c>
      <c r="AB30" s="32">
        <f>IF(AQ30="1",BH30,0)</f>
        <v>0</v>
      </c>
      <c r="AC30" s="32">
        <f>IF(AQ30="1",BI30,0)</f>
        <v>0</v>
      </c>
      <c r="AD30" s="32">
        <f>IF(AQ30="7",BH30,0)</f>
        <v>0</v>
      </c>
      <c r="AE30" s="32">
        <f>IF(AQ30="7",BI30,0)</f>
        <v>0</v>
      </c>
      <c r="AF30" s="32">
        <f>IF(AQ30="2",BH30,0)</f>
        <v>0</v>
      </c>
      <c r="AG30" s="32">
        <f>IF(AQ30="2",BI30,0)</f>
        <v>0</v>
      </c>
      <c r="AH30" s="32">
        <f>IF(AQ30="0",BJ30,0)</f>
        <v>0</v>
      </c>
      <c r="AI30" s="28"/>
      <c r="AJ30" s="15">
        <f>IF(AN30=0,K30,0)</f>
        <v>0</v>
      </c>
      <c r="AK30" s="15">
        <f>IF(AN30=15,K30,0)</f>
        <v>0</v>
      </c>
      <c r="AL30" s="15">
        <f>IF(AN30=21,K30,0)</f>
        <v>0</v>
      </c>
      <c r="AN30" s="32">
        <v>21</v>
      </c>
      <c r="AO30" s="32">
        <f>H30*0</f>
        <v>0</v>
      </c>
      <c r="AP30" s="32">
        <f>H30*(1-0)</f>
        <v>0</v>
      </c>
      <c r="AQ30" s="27" t="s">
        <v>7</v>
      </c>
      <c r="AV30" s="32">
        <f>AW30+AX30</f>
        <v>0</v>
      </c>
      <c r="AW30" s="32">
        <f>G30*AO30</f>
        <v>0</v>
      </c>
      <c r="AX30" s="32">
        <f>G30*AP30</f>
        <v>0</v>
      </c>
      <c r="AY30" s="33" t="s">
        <v>663</v>
      </c>
      <c r="AZ30" s="33" t="s">
        <v>660</v>
      </c>
      <c r="BA30" s="28" t="s">
        <v>692</v>
      </c>
      <c r="BC30" s="32">
        <f>AW30+AX30</f>
        <v>0</v>
      </c>
      <c r="BD30" s="32">
        <f>H30/(100-BE30)*100</f>
        <v>0</v>
      </c>
      <c r="BE30" s="32">
        <v>0</v>
      </c>
      <c r="BF30" s="32">
        <f>30</f>
        <v>30</v>
      </c>
      <c r="BH30" s="15">
        <f>G30*AO30</f>
        <v>0</v>
      </c>
      <c r="BI30" s="15">
        <f>G30*AP30</f>
        <v>0</v>
      </c>
      <c r="BJ30" s="15">
        <f>G30*H30</f>
        <v>0</v>
      </c>
    </row>
    <row r="31" spans="1:62" x14ac:dyDescent="0.2">
      <c r="C31" s="58" t="s">
        <v>294</v>
      </c>
      <c r="D31" s="59"/>
      <c r="E31" s="59"/>
      <c r="G31" s="16">
        <v>3.129</v>
      </c>
    </row>
    <row r="32" spans="1:62" x14ac:dyDescent="0.2">
      <c r="A32" s="5"/>
      <c r="B32" s="13" t="s">
        <v>8</v>
      </c>
      <c r="C32" s="66" t="s">
        <v>295</v>
      </c>
      <c r="D32" s="67"/>
      <c r="E32" s="67"/>
      <c r="F32" s="5" t="s">
        <v>6</v>
      </c>
      <c r="G32" s="5" t="s">
        <v>6</v>
      </c>
      <c r="H32" s="5" t="s">
        <v>6</v>
      </c>
      <c r="I32" s="35">
        <f>SUM(I33:I33)</f>
        <v>0</v>
      </c>
      <c r="J32" s="35">
        <f>SUM(J33:J33)</f>
        <v>0</v>
      </c>
      <c r="K32" s="35">
        <f>SUM(K33:K33)</f>
        <v>0</v>
      </c>
      <c r="L32" s="28"/>
      <c r="AI32" s="28"/>
      <c r="AS32" s="35">
        <f>SUM(AJ33:AJ33)</f>
        <v>0</v>
      </c>
      <c r="AT32" s="35">
        <f>SUM(AK33:AK33)</f>
        <v>0</v>
      </c>
      <c r="AU32" s="35">
        <f>SUM(AL33:AL33)</f>
        <v>0</v>
      </c>
    </row>
    <row r="33" spans="1:62" x14ac:dyDescent="0.2">
      <c r="A33" s="4" t="s">
        <v>14</v>
      </c>
      <c r="B33" s="4" t="s">
        <v>142</v>
      </c>
      <c r="C33" s="56" t="s">
        <v>296</v>
      </c>
      <c r="D33" s="57"/>
      <c r="E33" s="57"/>
      <c r="F33" s="4" t="s">
        <v>627</v>
      </c>
      <c r="G33" s="15">
        <v>1</v>
      </c>
      <c r="H33" s="15">
        <v>0</v>
      </c>
      <c r="I33" s="15">
        <f>G33*AO33</f>
        <v>0</v>
      </c>
      <c r="J33" s="15">
        <f>G33*AP33</f>
        <v>0</v>
      </c>
      <c r="K33" s="15">
        <f>G33*H33</f>
        <v>0</v>
      </c>
      <c r="L33" s="27"/>
      <c r="Z33" s="32">
        <f>IF(AQ33="5",BJ33,0)</f>
        <v>0</v>
      </c>
      <c r="AB33" s="32">
        <f>IF(AQ33="1",BH33,0)</f>
        <v>0</v>
      </c>
      <c r="AC33" s="32">
        <f>IF(AQ33="1",BI33,0)</f>
        <v>0</v>
      </c>
      <c r="AD33" s="32">
        <f>IF(AQ33="7",BH33,0)</f>
        <v>0</v>
      </c>
      <c r="AE33" s="32">
        <f>IF(AQ33="7",BI33,0)</f>
        <v>0</v>
      </c>
      <c r="AF33" s="32">
        <f>IF(AQ33="2",BH33,0)</f>
        <v>0</v>
      </c>
      <c r="AG33" s="32">
        <f>IF(AQ33="2",BI33,0)</f>
        <v>0</v>
      </c>
      <c r="AH33" s="32">
        <f>IF(AQ33="0",BJ33,0)</f>
        <v>0</v>
      </c>
      <c r="AI33" s="28"/>
      <c r="AJ33" s="15">
        <f>IF(AN33=0,K33,0)</f>
        <v>0</v>
      </c>
      <c r="AK33" s="15">
        <f>IF(AN33=15,K33,0)</f>
        <v>0</v>
      </c>
      <c r="AL33" s="15">
        <f>IF(AN33=21,K33,0)</f>
        <v>0</v>
      </c>
      <c r="AN33" s="32">
        <v>21</v>
      </c>
      <c r="AO33" s="32">
        <f>H33*0</f>
        <v>0</v>
      </c>
      <c r="AP33" s="32">
        <f>H33*(1-0)</f>
        <v>0</v>
      </c>
      <c r="AQ33" s="27" t="s">
        <v>7</v>
      </c>
      <c r="AV33" s="32">
        <f>AW33+AX33</f>
        <v>0</v>
      </c>
      <c r="AW33" s="32">
        <f>G33*AO33</f>
        <v>0</v>
      </c>
      <c r="AX33" s="32">
        <f>G33*AP33</f>
        <v>0</v>
      </c>
      <c r="AY33" s="33" t="s">
        <v>664</v>
      </c>
      <c r="AZ33" s="33" t="s">
        <v>664</v>
      </c>
      <c r="BA33" s="28" t="s">
        <v>692</v>
      </c>
      <c r="BC33" s="32">
        <f>AW33+AX33</f>
        <v>0</v>
      </c>
      <c r="BD33" s="32">
        <f>H33/(100-BE33)*100</f>
        <v>0</v>
      </c>
      <c r="BE33" s="32">
        <v>0</v>
      </c>
      <c r="BF33" s="32">
        <f>33</f>
        <v>33</v>
      </c>
      <c r="BH33" s="15">
        <f>G33*AO33</f>
        <v>0</v>
      </c>
      <c r="BI33" s="15">
        <f>G33*AP33</f>
        <v>0</v>
      </c>
      <c r="BJ33" s="15">
        <f>G33*H33</f>
        <v>0</v>
      </c>
    </row>
    <row r="34" spans="1:62" x14ac:dyDescent="0.2">
      <c r="C34" s="58" t="s">
        <v>297</v>
      </c>
      <c r="D34" s="59"/>
      <c r="E34" s="59"/>
      <c r="G34" s="16">
        <v>1</v>
      </c>
    </row>
    <row r="35" spans="1:62" x14ac:dyDescent="0.2">
      <c r="A35" s="5"/>
      <c r="B35" s="54" t="s">
        <v>27</v>
      </c>
      <c r="C35" s="66" t="s">
        <v>749</v>
      </c>
      <c r="D35" s="67"/>
      <c r="E35" s="67"/>
      <c r="F35" s="5" t="s">
        <v>6</v>
      </c>
      <c r="G35" s="5" t="s">
        <v>6</v>
      </c>
      <c r="H35" s="5" t="s">
        <v>6</v>
      </c>
      <c r="I35" s="35">
        <f>SUM(I36:I36)</f>
        <v>0</v>
      </c>
      <c r="J35" s="35">
        <f>SUM(J36:J36)</f>
        <v>0</v>
      </c>
      <c r="K35" s="35">
        <f>SUM(K36:K36)</f>
        <v>0</v>
      </c>
      <c r="L35" s="28"/>
      <c r="AI35" s="28"/>
      <c r="AS35" s="35">
        <f>SUM(AJ36:AJ36)</f>
        <v>0</v>
      </c>
      <c r="AT35" s="35">
        <f>SUM(AK36:AK36)</f>
        <v>0</v>
      </c>
      <c r="AU35" s="35">
        <f>SUM(AL36:AL36)</f>
        <v>0</v>
      </c>
    </row>
    <row r="36" spans="1:62" x14ac:dyDescent="0.2">
      <c r="A36" s="55" t="s">
        <v>748</v>
      </c>
      <c r="B36" s="55"/>
      <c r="C36" s="56" t="s">
        <v>750</v>
      </c>
      <c r="D36" s="57"/>
      <c r="E36" s="57"/>
      <c r="F36" s="55" t="s">
        <v>627</v>
      </c>
      <c r="G36" s="15">
        <v>1</v>
      </c>
      <c r="H36" s="15">
        <v>0</v>
      </c>
      <c r="I36" s="15">
        <f>G36*AO36</f>
        <v>0</v>
      </c>
      <c r="J36" s="15">
        <f>G36*AP36</f>
        <v>0</v>
      </c>
      <c r="K36" s="15">
        <f>G36*H36</f>
        <v>0</v>
      </c>
      <c r="L36" s="27"/>
      <c r="Z36" s="32">
        <f>IF(AQ36="5",BJ36,0)</f>
        <v>0</v>
      </c>
      <c r="AB36" s="32">
        <f>IF(AQ36="1",BH36,0)</f>
        <v>0</v>
      </c>
      <c r="AC36" s="32">
        <f>IF(AQ36="1",BI36,0)</f>
        <v>0</v>
      </c>
      <c r="AD36" s="32">
        <f>IF(AQ36="7",BH36,0)</f>
        <v>0</v>
      </c>
      <c r="AE36" s="32">
        <f>IF(AQ36="7",BI36,0)</f>
        <v>0</v>
      </c>
      <c r="AF36" s="32">
        <f>IF(AQ36="2",BH36,0)</f>
        <v>0</v>
      </c>
      <c r="AG36" s="32">
        <f>IF(AQ36="2",BI36,0)</f>
        <v>0</v>
      </c>
      <c r="AH36" s="32">
        <f>IF(AQ36="0",BJ36,0)</f>
        <v>0</v>
      </c>
      <c r="AI36" s="28"/>
      <c r="AJ36" s="15">
        <f>IF(AN36=0,K36,0)</f>
        <v>0</v>
      </c>
      <c r="AK36" s="15">
        <f>IF(AN36=15,K36,0)</f>
        <v>0</v>
      </c>
      <c r="AL36" s="15">
        <f>IF(AN36=21,K36,0)</f>
        <v>0</v>
      </c>
      <c r="AN36" s="32">
        <v>21</v>
      </c>
      <c r="AO36" s="32">
        <f>H36*0</f>
        <v>0</v>
      </c>
      <c r="AP36" s="32">
        <f>H36*(1-0)</f>
        <v>0</v>
      </c>
      <c r="AQ36" s="27" t="s">
        <v>7</v>
      </c>
      <c r="AV36" s="32">
        <f>AW36+AX36</f>
        <v>0</v>
      </c>
      <c r="AW36" s="32">
        <f>G36*AO36</f>
        <v>0</v>
      </c>
      <c r="AX36" s="32">
        <f>G36*AP36</f>
        <v>0</v>
      </c>
      <c r="AY36" s="33" t="s">
        <v>664</v>
      </c>
      <c r="AZ36" s="33" t="s">
        <v>664</v>
      </c>
      <c r="BA36" s="28" t="s">
        <v>692</v>
      </c>
      <c r="BC36" s="32">
        <f>AW36+AX36</f>
        <v>0</v>
      </c>
      <c r="BD36" s="32">
        <f>H36/(100-BE36)*100</f>
        <v>0</v>
      </c>
      <c r="BE36" s="32">
        <v>0</v>
      </c>
      <c r="BF36" s="32">
        <f>33</f>
        <v>33</v>
      </c>
      <c r="BH36" s="15">
        <f>G36*AO36</f>
        <v>0</v>
      </c>
      <c r="BI36" s="15">
        <f>G36*AP36</f>
        <v>0</v>
      </c>
      <c r="BJ36" s="15">
        <f>G36*H36</f>
        <v>0</v>
      </c>
    </row>
    <row r="37" spans="1:62" x14ac:dyDescent="0.2">
      <c r="A37" s="5"/>
      <c r="B37" s="13" t="s">
        <v>65</v>
      </c>
      <c r="C37" s="66" t="s">
        <v>298</v>
      </c>
      <c r="D37" s="67"/>
      <c r="E37" s="67"/>
      <c r="F37" s="5" t="s">
        <v>6</v>
      </c>
      <c r="G37" s="5" t="s">
        <v>6</v>
      </c>
      <c r="H37" s="5" t="s">
        <v>6</v>
      </c>
      <c r="I37" s="35">
        <f>SUM(I38:I38)</f>
        <v>0</v>
      </c>
      <c r="J37" s="35">
        <f>SUM(J38:J38)</f>
        <v>0</v>
      </c>
      <c r="K37" s="35">
        <f>SUM(K38:K38)</f>
        <v>0</v>
      </c>
      <c r="L37" s="28"/>
      <c r="AI37" s="28"/>
      <c r="AS37" s="35">
        <f>SUM(AJ38:AJ38)</f>
        <v>0</v>
      </c>
      <c r="AT37" s="35">
        <f>SUM(AK38:AK38)</f>
        <v>0</v>
      </c>
      <c r="AU37" s="35">
        <f>SUM(AL38:AL38)</f>
        <v>0</v>
      </c>
    </row>
    <row r="38" spans="1:62" x14ac:dyDescent="0.2">
      <c r="A38" s="4" t="s">
        <v>15</v>
      </c>
      <c r="B38" s="4" t="s">
        <v>143</v>
      </c>
      <c r="C38" s="56" t="s">
        <v>299</v>
      </c>
      <c r="D38" s="57"/>
      <c r="E38" s="57"/>
      <c r="F38" s="4" t="s">
        <v>625</v>
      </c>
      <c r="G38" s="15">
        <v>44.7</v>
      </c>
      <c r="H38" s="15">
        <v>0</v>
      </c>
      <c r="I38" s="15">
        <f>G38*AO38</f>
        <v>0</v>
      </c>
      <c r="J38" s="15">
        <f>G38*AP38</f>
        <v>0</v>
      </c>
      <c r="K38" s="15">
        <f>G38*H38</f>
        <v>0</v>
      </c>
      <c r="L38" s="27" t="s">
        <v>648</v>
      </c>
      <c r="Z38" s="32">
        <f>IF(AQ38="5",BJ38,0)</f>
        <v>0</v>
      </c>
      <c r="AB38" s="32">
        <f>IF(AQ38="1",BH38,0)</f>
        <v>0</v>
      </c>
      <c r="AC38" s="32">
        <f>IF(AQ38="1",BI38,0)</f>
        <v>0</v>
      </c>
      <c r="AD38" s="32">
        <f>IF(AQ38="7",BH38,0)</f>
        <v>0</v>
      </c>
      <c r="AE38" s="32">
        <f>IF(AQ38="7",BI38,0)</f>
        <v>0</v>
      </c>
      <c r="AF38" s="32">
        <f>IF(AQ38="2",BH38,0)</f>
        <v>0</v>
      </c>
      <c r="AG38" s="32">
        <f>IF(AQ38="2",BI38,0)</f>
        <v>0</v>
      </c>
      <c r="AH38" s="32">
        <f>IF(AQ38="0",BJ38,0)</f>
        <v>0</v>
      </c>
      <c r="AI38" s="28"/>
      <c r="AJ38" s="15">
        <f>IF(AN38=0,K38,0)</f>
        <v>0</v>
      </c>
      <c r="AK38" s="15">
        <f>IF(AN38=15,K38,0)</f>
        <v>0</v>
      </c>
      <c r="AL38" s="15">
        <f>IF(AN38=21,K38,0)</f>
        <v>0</v>
      </c>
      <c r="AN38" s="32">
        <v>21</v>
      </c>
      <c r="AO38" s="32">
        <f>H38*0.568727127499354</f>
        <v>0</v>
      </c>
      <c r="AP38" s="32">
        <f>H38*(1-0.568727127499354)</f>
        <v>0</v>
      </c>
      <c r="AQ38" s="27" t="s">
        <v>7</v>
      </c>
      <c r="AV38" s="32">
        <f>AW38+AX38</f>
        <v>0</v>
      </c>
      <c r="AW38" s="32">
        <f>G38*AO38</f>
        <v>0</v>
      </c>
      <c r="AX38" s="32">
        <f>G38*AP38</f>
        <v>0</v>
      </c>
      <c r="AY38" s="33" t="s">
        <v>665</v>
      </c>
      <c r="AZ38" s="33" t="s">
        <v>685</v>
      </c>
      <c r="BA38" s="28" t="s">
        <v>692</v>
      </c>
      <c r="BC38" s="32">
        <f>AW38+AX38</f>
        <v>0</v>
      </c>
      <c r="BD38" s="32">
        <f>H38/(100-BE38)*100</f>
        <v>0</v>
      </c>
      <c r="BE38" s="32">
        <v>0</v>
      </c>
      <c r="BF38" s="32">
        <f>36</f>
        <v>36</v>
      </c>
      <c r="BH38" s="15">
        <f>G38*AO38</f>
        <v>0</v>
      </c>
      <c r="BI38" s="15">
        <f>G38*AP38</f>
        <v>0</v>
      </c>
      <c r="BJ38" s="15">
        <f>G38*H38</f>
        <v>0</v>
      </c>
    </row>
    <row r="39" spans="1:62" x14ac:dyDescent="0.2">
      <c r="C39" s="58" t="s">
        <v>300</v>
      </c>
      <c r="D39" s="59"/>
      <c r="E39" s="59"/>
      <c r="G39" s="16">
        <v>44.7</v>
      </c>
    </row>
    <row r="40" spans="1:62" x14ac:dyDescent="0.2">
      <c r="A40" s="5"/>
      <c r="B40" s="13" t="s">
        <v>67</v>
      </c>
      <c r="C40" s="66" t="s">
        <v>301</v>
      </c>
      <c r="D40" s="67"/>
      <c r="E40" s="67"/>
      <c r="F40" s="5" t="s">
        <v>6</v>
      </c>
      <c r="G40" s="5" t="s">
        <v>6</v>
      </c>
      <c r="H40" s="5" t="s">
        <v>6</v>
      </c>
      <c r="I40" s="35">
        <f>SUM(I41:I43)</f>
        <v>0</v>
      </c>
      <c r="J40" s="35">
        <f>SUM(J41:J43)</f>
        <v>0</v>
      </c>
      <c r="K40" s="35">
        <f>SUM(K41:K43)</f>
        <v>0</v>
      </c>
      <c r="L40" s="28"/>
      <c r="AI40" s="28"/>
      <c r="AS40" s="35">
        <f>SUM(AJ41:AJ43)</f>
        <v>0</v>
      </c>
      <c r="AT40" s="35">
        <f>SUM(AK41:AK43)</f>
        <v>0</v>
      </c>
      <c r="AU40" s="35">
        <f>SUM(AL41:AL43)</f>
        <v>0</v>
      </c>
    </row>
    <row r="41" spans="1:62" x14ac:dyDescent="0.2">
      <c r="A41" s="4" t="s">
        <v>16</v>
      </c>
      <c r="B41" s="4" t="s">
        <v>144</v>
      </c>
      <c r="C41" s="56" t="s">
        <v>302</v>
      </c>
      <c r="D41" s="57"/>
      <c r="E41" s="57"/>
      <c r="F41" s="4" t="s">
        <v>628</v>
      </c>
      <c r="G41" s="15">
        <v>297.3</v>
      </c>
      <c r="H41" s="15">
        <v>0</v>
      </c>
      <c r="I41" s="15">
        <f>G41*AO41</f>
        <v>0</v>
      </c>
      <c r="J41" s="15">
        <f>G41*AP41</f>
        <v>0</v>
      </c>
      <c r="K41" s="15">
        <f>G41*H41</f>
        <v>0</v>
      </c>
      <c r="L41" s="27" t="s">
        <v>648</v>
      </c>
      <c r="Z41" s="32">
        <f>IF(AQ41="5",BJ41,0)</f>
        <v>0</v>
      </c>
      <c r="AB41" s="32">
        <f>IF(AQ41="1",BH41,0)</f>
        <v>0</v>
      </c>
      <c r="AC41" s="32">
        <f>IF(AQ41="1",BI41,0)</f>
        <v>0</v>
      </c>
      <c r="AD41" s="32">
        <f>IF(AQ41="7",BH41,0)</f>
        <v>0</v>
      </c>
      <c r="AE41" s="32">
        <f>IF(AQ41="7",BI41,0)</f>
        <v>0</v>
      </c>
      <c r="AF41" s="32">
        <f>IF(AQ41="2",BH41,0)</f>
        <v>0</v>
      </c>
      <c r="AG41" s="32">
        <f>IF(AQ41="2",BI41,0)</f>
        <v>0</v>
      </c>
      <c r="AH41" s="32">
        <f>IF(AQ41="0",BJ41,0)</f>
        <v>0</v>
      </c>
      <c r="AI41" s="28"/>
      <c r="AJ41" s="15">
        <f>IF(AN41=0,K41,0)</f>
        <v>0</v>
      </c>
      <c r="AK41" s="15">
        <f>IF(AN41=15,K41,0)</f>
        <v>0</v>
      </c>
      <c r="AL41" s="15">
        <f>IF(AN41=21,K41,0)</f>
        <v>0</v>
      </c>
      <c r="AN41" s="32">
        <v>21</v>
      </c>
      <c r="AO41" s="32">
        <f>H41*0.0435406698564593</f>
        <v>0</v>
      </c>
      <c r="AP41" s="32">
        <f>H41*(1-0.0435406698564593)</f>
        <v>0</v>
      </c>
      <c r="AQ41" s="27" t="s">
        <v>7</v>
      </c>
      <c r="AV41" s="32">
        <f>AW41+AX41</f>
        <v>0</v>
      </c>
      <c r="AW41" s="32">
        <f>G41*AO41</f>
        <v>0</v>
      </c>
      <c r="AX41" s="32">
        <f>G41*AP41</f>
        <v>0</v>
      </c>
      <c r="AY41" s="33" t="s">
        <v>666</v>
      </c>
      <c r="AZ41" s="33" t="s">
        <v>686</v>
      </c>
      <c r="BA41" s="28" t="s">
        <v>692</v>
      </c>
      <c r="BC41" s="32">
        <f>AW41+AX41</f>
        <v>0</v>
      </c>
      <c r="BD41" s="32">
        <f>H41/(100-BE41)*100</f>
        <v>0</v>
      </c>
      <c r="BE41" s="32">
        <v>0</v>
      </c>
      <c r="BF41" s="32">
        <f>39</f>
        <v>39</v>
      </c>
      <c r="BH41" s="15">
        <f>G41*AO41</f>
        <v>0</v>
      </c>
      <c r="BI41" s="15">
        <f>G41*AP41</f>
        <v>0</v>
      </c>
      <c r="BJ41" s="15">
        <f>G41*H41</f>
        <v>0</v>
      </c>
    </row>
    <row r="42" spans="1:62" x14ac:dyDescent="0.2">
      <c r="C42" s="58" t="s">
        <v>303</v>
      </c>
      <c r="D42" s="59"/>
      <c r="E42" s="59"/>
      <c r="G42" s="16">
        <v>297.3</v>
      </c>
    </row>
    <row r="43" spans="1:62" x14ac:dyDescent="0.2">
      <c r="A43" s="4" t="s">
        <v>17</v>
      </c>
      <c r="B43" s="4" t="s">
        <v>145</v>
      </c>
      <c r="C43" s="56" t="s">
        <v>304</v>
      </c>
      <c r="D43" s="57"/>
      <c r="E43" s="57"/>
      <c r="F43" s="4" t="s">
        <v>625</v>
      </c>
      <c r="G43" s="15">
        <v>148.65</v>
      </c>
      <c r="H43" s="15">
        <v>0</v>
      </c>
      <c r="I43" s="15">
        <f>G43*AO43</f>
        <v>0</v>
      </c>
      <c r="J43" s="15">
        <f>G43*AP43</f>
        <v>0</v>
      </c>
      <c r="K43" s="15">
        <f>G43*H43</f>
        <v>0</v>
      </c>
      <c r="L43" s="27" t="s">
        <v>648</v>
      </c>
      <c r="Z43" s="32">
        <f>IF(AQ43="5",BJ43,0)</f>
        <v>0</v>
      </c>
      <c r="AB43" s="32">
        <f>IF(AQ43="1",BH43,0)</f>
        <v>0</v>
      </c>
      <c r="AC43" s="32">
        <f>IF(AQ43="1",BI43,0)</f>
        <v>0</v>
      </c>
      <c r="AD43" s="32">
        <f>IF(AQ43="7",BH43,0)</f>
        <v>0</v>
      </c>
      <c r="AE43" s="32">
        <f>IF(AQ43="7",BI43,0)</f>
        <v>0</v>
      </c>
      <c r="AF43" s="32">
        <f>IF(AQ43="2",BH43,0)</f>
        <v>0</v>
      </c>
      <c r="AG43" s="32">
        <f>IF(AQ43="2",BI43,0)</f>
        <v>0</v>
      </c>
      <c r="AH43" s="32">
        <f>IF(AQ43="0",BJ43,0)</f>
        <v>0</v>
      </c>
      <c r="AI43" s="28"/>
      <c r="AJ43" s="15">
        <f>IF(AN43=0,K43,0)</f>
        <v>0</v>
      </c>
      <c r="AK43" s="15">
        <f>IF(AN43=15,K43,0)</f>
        <v>0</v>
      </c>
      <c r="AL43" s="15">
        <f>IF(AN43=21,K43,0)</f>
        <v>0</v>
      </c>
      <c r="AN43" s="32">
        <v>21</v>
      </c>
      <c r="AO43" s="32">
        <f>H43*0.142324159021407</f>
        <v>0</v>
      </c>
      <c r="AP43" s="32">
        <f>H43*(1-0.142324159021407)</f>
        <v>0</v>
      </c>
      <c r="AQ43" s="27" t="s">
        <v>7</v>
      </c>
      <c r="AV43" s="32">
        <f>AW43+AX43</f>
        <v>0</v>
      </c>
      <c r="AW43" s="32">
        <f>G43*AO43</f>
        <v>0</v>
      </c>
      <c r="AX43" s="32">
        <f>G43*AP43</f>
        <v>0</v>
      </c>
      <c r="AY43" s="33" t="s">
        <v>666</v>
      </c>
      <c r="AZ43" s="33" t="s">
        <v>686</v>
      </c>
      <c r="BA43" s="28" t="s">
        <v>692</v>
      </c>
      <c r="BC43" s="32">
        <f>AW43+AX43</f>
        <v>0</v>
      </c>
      <c r="BD43" s="32">
        <f>H43/(100-BE43)*100</f>
        <v>0</v>
      </c>
      <c r="BE43" s="32">
        <v>0</v>
      </c>
      <c r="BF43" s="32">
        <f>41</f>
        <v>41</v>
      </c>
      <c r="BH43" s="15">
        <f>G43*AO43</f>
        <v>0</v>
      </c>
      <c r="BI43" s="15">
        <f>G43*AP43</f>
        <v>0</v>
      </c>
      <c r="BJ43" s="15">
        <f>G43*H43</f>
        <v>0</v>
      </c>
    </row>
    <row r="44" spans="1:62" x14ac:dyDescent="0.2">
      <c r="C44" s="58" t="s">
        <v>305</v>
      </c>
      <c r="D44" s="59"/>
      <c r="E44" s="59"/>
      <c r="G44" s="16">
        <v>148.65</v>
      </c>
    </row>
    <row r="45" spans="1:62" x14ac:dyDescent="0.2">
      <c r="A45" s="5"/>
      <c r="B45" s="13" t="s">
        <v>68</v>
      </c>
      <c r="C45" s="66" t="s">
        <v>306</v>
      </c>
      <c r="D45" s="67"/>
      <c r="E45" s="67"/>
      <c r="F45" s="5" t="s">
        <v>6</v>
      </c>
      <c r="G45" s="5" t="s">
        <v>6</v>
      </c>
      <c r="H45" s="5" t="s">
        <v>6</v>
      </c>
      <c r="I45" s="35">
        <f>SUM(I46:I122)</f>
        <v>0</v>
      </c>
      <c r="J45" s="35">
        <f>SUM(J46:J122)</f>
        <v>0</v>
      </c>
      <c r="K45" s="35">
        <f>SUM(K46:K122)</f>
        <v>0</v>
      </c>
      <c r="L45" s="28"/>
      <c r="AI45" s="28"/>
      <c r="AS45" s="35">
        <f>SUM(AJ46:AJ122)</f>
        <v>0</v>
      </c>
      <c r="AT45" s="35">
        <f>SUM(AK46:AK122)</f>
        <v>0</v>
      </c>
      <c r="AU45" s="35">
        <f>SUM(AL46:AL122)</f>
        <v>0</v>
      </c>
    </row>
    <row r="46" spans="1:62" x14ac:dyDescent="0.2">
      <c r="A46" s="4" t="s">
        <v>18</v>
      </c>
      <c r="B46" s="4" t="s">
        <v>146</v>
      </c>
      <c r="C46" s="56" t="s">
        <v>307</v>
      </c>
      <c r="D46" s="57"/>
      <c r="E46" s="57"/>
      <c r="F46" s="4" t="s">
        <v>628</v>
      </c>
      <c r="G46" s="15">
        <v>10</v>
      </c>
      <c r="H46" s="15">
        <v>0</v>
      </c>
      <c r="I46" s="15">
        <f>G46*AO46</f>
        <v>0</v>
      </c>
      <c r="J46" s="15">
        <f>G46*AP46</f>
        <v>0</v>
      </c>
      <c r="K46" s="15">
        <f>G46*H46</f>
        <v>0</v>
      </c>
      <c r="L46" s="27" t="s">
        <v>648</v>
      </c>
      <c r="Z46" s="32">
        <f>IF(AQ46="5",BJ46,0)</f>
        <v>0</v>
      </c>
      <c r="AB46" s="32">
        <f>IF(AQ46="1",BH46,0)</f>
        <v>0</v>
      </c>
      <c r="AC46" s="32">
        <f>IF(AQ46="1",BI46,0)</f>
        <v>0</v>
      </c>
      <c r="AD46" s="32">
        <f>IF(AQ46="7",BH46,0)</f>
        <v>0</v>
      </c>
      <c r="AE46" s="32">
        <f>IF(AQ46="7",BI46,0)</f>
        <v>0</v>
      </c>
      <c r="AF46" s="32">
        <f>IF(AQ46="2",BH46,0)</f>
        <v>0</v>
      </c>
      <c r="AG46" s="32">
        <f>IF(AQ46="2",BI46,0)</f>
        <v>0</v>
      </c>
      <c r="AH46" s="32">
        <f>IF(AQ46="0",BJ46,0)</f>
        <v>0</v>
      </c>
      <c r="AI46" s="28"/>
      <c r="AJ46" s="15">
        <f>IF(AN46=0,K46,0)</f>
        <v>0</v>
      </c>
      <c r="AK46" s="15">
        <f>IF(AN46=15,K46,0)</f>
        <v>0</v>
      </c>
      <c r="AL46" s="15">
        <f>IF(AN46=21,K46,0)</f>
        <v>0</v>
      </c>
      <c r="AN46" s="32">
        <v>21</v>
      </c>
      <c r="AO46" s="32">
        <f>H46*0.707709923664122</f>
        <v>0</v>
      </c>
      <c r="AP46" s="32">
        <f>H46*(1-0.707709923664122)</f>
        <v>0</v>
      </c>
      <c r="AQ46" s="27" t="s">
        <v>7</v>
      </c>
      <c r="AV46" s="32">
        <f>AW46+AX46</f>
        <v>0</v>
      </c>
      <c r="AW46" s="32">
        <f>G46*AO46</f>
        <v>0</v>
      </c>
      <c r="AX46" s="32">
        <f>G46*AP46</f>
        <v>0</v>
      </c>
      <c r="AY46" s="33" t="s">
        <v>667</v>
      </c>
      <c r="AZ46" s="33" t="s">
        <v>686</v>
      </c>
      <c r="BA46" s="28" t="s">
        <v>692</v>
      </c>
      <c r="BC46" s="32">
        <f>AW46+AX46</f>
        <v>0</v>
      </c>
      <c r="BD46" s="32">
        <f>H46/(100-BE46)*100</f>
        <v>0</v>
      </c>
      <c r="BE46" s="32">
        <v>0</v>
      </c>
      <c r="BF46" s="32">
        <f>44</f>
        <v>44</v>
      </c>
      <c r="BH46" s="15">
        <f>G46*AO46</f>
        <v>0</v>
      </c>
      <c r="BI46" s="15">
        <f>G46*AP46</f>
        <v>0</v>
      </c>
      <c r="BJ46" s="15">
        <f>G46*H46</f>
        <v>0</v>
      </c>
    </row>
    <row r="47" spans="1:62" x14ac:dyDescent="0.2">
      <c r="C47" s="58" t="s">
        <v>308</v>
      </c>
      <c r="D47" s="59"/>
      <c r="E47" s="59"/>
      <c r="G47" s="16">
        <v>10</v>
      </c>
    </row>
    <row r="48" spans="1:62" x14ac:dyDescent="0.2">
      <c r="A48" s="4" t="s">
        <v>19</v>
      </c>
      <c r="B48" s="4" t="s">
        <v>147</v>
      </c>
      <c r="C48" s="56" t="s">
        <v>309</v>
      </c>
      <c r="D48" s="57"/>
      <c r="E48" s="57"/>
      <c r="F48" s="4" t="s">
        <v>625</v>
      </c>
      <c r="G48" s="15">
        <v>45</v>
      </c>
      <c r="H48" s="15">
        <v>0</v>
      </c>
      <c r="I48" s="15">
        <f>G48*AO48</f>
        <v>0</v>
      </c>
      <c r="J48" s="15">
        <f>G48*AP48</f>
        <v>0</v>
      </c>
      <c r="K48" s="15">
        <f>G48*H48</f>
        <v>0</v>
      </c>
      <c r="L48" s="27" t="s">
        <v>648</v>
      </c>
      <c r="Z48" s="32">
        <f>IF(AQ48="5",BJ48,0)</f>
        <v>0</v>
      </c>
      <c r="AB48" s="32">
        <f>IF(AQ48="1",BH48,0)</f>
        <v>0</v>
      </c>
      <c r="AC48" s="32">
        <f>IF(AQ48="1",BI48,0)</f>
        <v>0</v>
      </c>
      <c r="AD48" s="32">
        <f>IF(AQ48="7",BH48,0)</f>
        <v>0</v>
      </c>
      <c r="AE48" s="32">
        <f>IF(AQ48="7",BI48,0)</f>
        <v>0</v>
      </c>
      <c r="AF48" s="32">
        <f>IF(AQ48="2",BH48,0)</f>
        <v>0</v>
      </c>
      <c r="AG48" s="32">
        <f>IF(AQ48="2",BI48,0)</f>
        <v>0</v>
      </c>
      <c r="AH48" s="32">
        <f>IF(AQ48="0",BJ48,0)</f>
        <v>0</v>
      </c>
      <c r="AI48" s="28"/>
      <c r="AJ48" s="15">
        <f>IF(AN48=0,K48,0)</f>
        <v>0</v>
      </c>
      <c r="AK48" s="15">
        <f>IF(AN48=15,K48,0)</f>
        <v>0</v>
      </c>
      <c r="AL48" s="15">
        <f>IF(AN48=21,K48,0)</f>
        <v>0</v>
      </c>
      <c r="AN48" s="32">
        <v>21</v>
      </c>
      <c r="AO48" s="32">
        <f>H48*0.612617496442435</f>
        <v>0</v>
      </c>
      <c r="AP48" s="32">
        <f>H48*(1-0.612617496442435)</f>
        <v>0</v>
      </c>
      <c r="AQ48" s="27" t="s">
        <v>7</v>
      </c>
      <c r="AV48" s="32">
        <f>AW48+AX48</f>
        <v>0</v>
      </c>
      <c r="AW48" s="32">
        <f>G48*AO48</f>
        <v>0</v>
      </c>
      <c r="AX48" s="32">
        <f>G48*AP48</f>
        <v>0</v>
      </c>
      <c r="AY48" s="33" t="s">
        <v>667</v>
      </c>
      <c r="AZ48" s="33" t="s">
        <v>686</v>
      </c>
      <c r="BA48" s="28" t="s">
        <v>692</v>
      </c>
      <c r="BC48" s="32">
        <f>AW48+AX48</f>
        <v>0</v>
      </c>
      <c r="BD48" s="32">
        <f>H48/(100-BE48)*100</f>
        <v>0</v>
      </c>
      <c r="BE48" s="32">
        <v>0</v>
      </c>
      <c r="BF48" s="32">
        <f>46</f>
        <v>46</v>
      </c>
      <c r="BH48" s="15">
        <f>G48*AO48</f>
        <v>0</v>
      </c>
      <c r="BI48" s="15">
        <f>G48*AP48</f>
        <v>0</v>
      </c>
      <c r="BJ48" s="15">
        <f>G48*H48</f>
        <v>0</v>
      </c>
    </row>
    <row r="49" spans="1:62" x14ac:dyDescent="0.2">
      <c r="C49" s="58" t="s">
        <v>310</v>
      </c>
      <c r="D49" s="59"/>
      <c r="E49" s="59"/>
      <c r="G49" s="16">
        <v>45</v>
      </c>
    </row>
    <row r="50" spans="1:62" x14ac:dyDescent="0.2">
      <c r="A50" s="4" t="s">
        <v>20</v>
      </c>
      <c r="B50" s="4" t="s">
        <v>147</v>
      </c>
      <c r="C50" s="56" t="s">
        <v>311</v>
      </c>
      <c r="D50" s="57"/>
      <c r="E50" s="57"/>
      <c r="F50" s="4" t="s">
        <v>625</v>
      </c>
      <c r="G50" s="15">
        <v>75</v>
      </c>
      <c r="H50" s="15">
        <v>0</v>
      </c>
      <c r="I50" s="15">
        <f>G50*AO50</f>
        <v>0</v>
      </c>
      <c r="J50" s="15">
        <f>G50*AP50</f>
        <v>0</v>
      </c>
      <c r="K50" s="15">
        <f>G50*H50</f>
        <v>0</v>
      </c>
      <c r="L50" s="27" t="s">
        <v>648</v>
      </c>
      <c r="Z50" s="32">
        <f>IF(AQ50="5",BJ50,0)</f>
        <v>0</v>
      </c>
      <c r="AB50" s="32">
        <f>IF(AQ50="1",BH50,0)</f>
        <v>0</v>
      </c>
      <c r="AC50" s="32">
        <f>IF(AQ50="1",BI50,0)</f>
        <v>0</v>
      </c>
      <c r="AD50" s="32">
        <f>IF(AQ50="7",BH50,0)</f>
        <v>0</v>
      </c>
      <c r="AE50" s="32">
        <f>IF(AQ50="7",BI50,0)</f>
        <v>0</v>
      </c>
      <c r="AF50" s="32">
        <f>IF(AQ50="2",BH50,0)</f>
        <v>0</v>
      </c>
      <c r="AG50" s="32">
        <f>IF(AQ50="2",BI50,0)</f>
        <v>0</v>
      </c>
      <c r="AH50" s="32">
        <f>IF(AQ50="0",BJ50,0)</f>
        <v>0</v>
      </c>
      <c r="AI50" s="28"/>
      <c r="AJ50" s="15">
        <f>IF(AN50=0,K50,0)</f>
        <v>0</v>
      </c>
      <c r="AK50" s="15">
        <f>IF(AN50=15,K50,0)</f>
        <v>0</v>
      </c>
      <c r="AL50" s="15">
        <f>IF(AN50=21,K50,0)</f>
        <v>0</v>
      </c>
      <c r="AN50" s="32">
        <v>21</v>
      </c>
      <c r="AO50" s="32">
        <f>H50*0.612617496442435</f>
        <v>0</v>
      </c>
      <c r="AP50" s="32">
        <f>H50*(1-0.612617496442435)</f>
        <v>0</v>
      </c>
      <c r="AQ50" s="27" t="s">
        <v>7</v>
      </c>
      <c r="AV50" s="32">
        <f>AW50+AX50</f>
        <v>0</v>
      </c>
      <c r="AW50" s="32">
        <f>G50*AO50</f>
        <v>0</v>
      </c>
      <c r="AX50" s="32">
        <f>G50*AP50</f>
        <v>0</v>
      </c>
      <c r="AY50" s="33" t="s">
        <v>667</v>
      </c>
      <c r="AZ50" s="33" t="s">
        <v>686</v>
      </c>
      <c r="BA50" s="28" t="s">
        <v>692</v>
      </c>
      <c r="BC50" s="32">
        <f>AW50+AX50</f>
        <v>0</v>
      </c>
      <c r="BD50" s="32">
        <f>H50/(100-BE50)*100</f>
        <v>0</v>
      </c>
      <c r="BE50" s="32">
        <v>0</v>
      </c>
      <c r="BF50" s="32">
        <f>48</f>
        <v>48</v>
      </c>
      <c r="BH50" s="15">
        <f>G50*AO50</f>
        <v>0</v>
      </c>
      <c r="BI50" s="15">
        <f>G50*AP50</f>
        <v>0</v>
      </c>
      <c r="BJ50" s="15">
        <f>G50*H50</f>
        <v>0</v>
      </c>
    </row>
    <row r="51" spans="1:62" x14ac:dyDescent="0.2">
      <c r="C51" s="58" t="s">
        <v>312</v>
      </c>
      <c r="D51" s="59"/>
      <c r="E51" s="59"/>
      <c r="G51" s="16">
        <v>75</v>
      </c>
    </row>
    <row r="52" spans="1:62" x14ac:dyDescent="0.2">
      <c r="A52" s="4" t="s">
        <v>21</v>
      </c>
      <c r="B52" s="4" t="s">
        <v>148</v>
      </c>
      <c r="C52" s="56" t="s">
        <v>313</v>
      </c>
      <c r="D52" s="57"/>
      <c r="E52" s="57"/>
      <c r="F52" s="4" t="s">
        <v>625</v>
      </c>
      <c r="G52" s="15">
        <v>157.5</v>
      </c>
      <c r="H52" s="15">
        <v>0</v>
      </c>
      <c r="I52" s="15">
        <f>G52*AO52</f>
        <v>0</v>
      </c>
      <c r="J52" s="15">
        <f>G52*AP52</f>
        <v>0</v>
      </c>
      <c r="K52" s="15">
        <f>G52*H52</f>
        <v>0</v>
      </c>
      <c r="L52" s="27" t="s">
        <v>648</v>
      </c>
      <c r="Z52" s="32">
        <f>IF(AQ52="5",BJ52,0)</f>
        <v>0</v>
      </c>
      <c r="AB52" s="32">
        <f>IF(AQ52="1",BH52,0)</f>
        <v>0</v>
      </c>
      <c r="AC52" s="32">
        <f>IF(AQ52="1",BI52,0)</f>
        <v>0</v>
      </c>
      <c r="AD52" s="32">
        <f>IF(AQ52="7",BH52,0)</f>
        <v>0</v>
      </c>
      <c r="AE52" s="32">
        <f>IF(AQ52="7",BI52,0)</f>
        <v>0</v>
      </c>
      <c r="AF52" s="32">
        <f>IF(AQ52="2",BH52,0)</f>
        <v>0</v>
      </c>
      <c r="AG52" s="32">
        <f>IF(AQ52="2",BI52,0)</f>
        <v>0</v>
      </c>
      <c r="AH52" s="32">
        <f>IF(AQ52="0",BJ52,0)</f>
        <v>0</v>
      </c>
      <c r="AI52" s="28"/>
      <c r="AJ52" s="15">
        <f>IF(AN52=0,K52,0)</f>
        <v>0</v>
      </c>
      <c r="AK52" s="15">
        <f>IF(AN52=15,K52,0)</f>
        <v>0</v>
      </c>
      <c r="AL52" s="15">
        <f>IF(AN52=21,K52,0)</f>
        <v>0</v>
      </c>
      <c r="AN52" s="32">
        <v>21</v>
      </c>
      <c r="AO52" s="32">
        <f>H52*0.663979899497487</f>
        <v>0</v>
      </c>
      <c r="AP52" s="32">
        <f>H52*(1-0.663979899497487)</f>
        <v>0</v>
      </c>
      <c r="AQ52" s="27" t="s">
        <v>7</v>
      </c>
      <c r="AV52" s="32">
        <f>AW52+AX52</f>
        <v>0</v>
      </c>
      <c r="AW52" s="32">
        <f>G52*AO52</f>
        <v>0</v>
      </c>
      <c r="AX52" s="32">
        <f>G52*AP52</f>
        <v>0</v>
      </c>
      <c r="AY52" s="33" t="s">
        <v>667</v>
      </c>
      <c r="AZ52" s="33" t="s">
        <v>686</v>
      </c>
      <c r="BA52" s="28" t="s">
        <v>692</v>
      </c>
      <c r="BC52" s="32">
        <f>AW52+AX52</f>
        <v>0</v>
      </c>
      <c r="BD52" s="32">
        <f>H52/(100-BE52)*100</f>
        <v>0</v>
      </c>
      <c r="BE52" s="32">
        <v>0</v>
      </c>
      <c r="BF52" s="32">
        <f>50</f>
        <v>50</v>
      </c>
      <c r="BH52" s="15">
        <f>G52*AO52</f>
        <v>0</v>
      </c>
      <c r="BI52" s="15">
        <f>G52*AP52</f>
        <v>0</v>
      </c>
      <c r="BJ52" s="15">
        <f>G52*H52</f>
        <v>0</v>
      </c>
    </row>
    <row r="53" spans="1:62" x14ac:dyDescent="0.2">
      <c r="C53" s="58" t="s">
        <v>314</v>
      </c>
      <c r="D53" s="59"/>
      <c r="E53" s="59"/>
      <c r="G53" s="16">
        <v>150</v>
      </c>
    </row>
    <row r="54" spans="1:62" x14ac:dyDescent="0.2">
      <c r="C54" s="58" t="s">
        <v>315</v>
      </c>
      <c r="D54" s="59"/>
      <c r="E54" s="59"/>
      <c r="G54" s="16">
        <v>7.5</v>
      </c>
    </row>
    <row r="55" spans="1:62" x14ac:dyDescent="0.2">
      <c r="A55" s="4" t="s">
        <v>22</v>
      </c>
      <c r="B55" s="4" t="s">
        <v>149</v>
      </c>
      <c r="C55" s="56" t="s">
        <v>316</v>
      </c>
      <c r="D55" s="57"/>
      <c r="E55" s="57"/>
      <c r="F55" s="4" t="s">
        <v>625</v>
      </c>
      <c r="G55" s="15">
        <v>838.18</v>
      </c>
      <c r="H55" s="15">
        <v>0</v>
      </c>
      <c r="I55" s="15">
        <f>G55*AO55</f>
        <v>0</v>
      </c>
      <c r="J55" s="15">
        <f>G55*AP55</f>
        <v>0</v>
      </c>
      <c r="K55" s="15">
        <f>G55*H55</f>
        <v>0</v>
      </c>
      <c r="L55" s="27" t="s">
        <v>648</v>
      </c>
      <c r="Z55" s="32">
        <f>IF(AQ55="5",BJ55,0)</f>
        <v>0</v>
      </c>
      <c r="AB55" s="32">
        <f>IF(AQ55="1",BH55,0)</f>
        <v>0</v>
      </c>
      <c r="AC55" s="32">
        <f>IF(AQ55="1",BI55,0)</f>
        <v>0</v>
      </c>
      <c r="AD55" s="32">
        <f>IF(AQ55="7",BH55,0)</f>
        <v>0</v>
      </c>
      <c r="AE55" s="32">
        <f>IF(AQ55="7",BI55,0)</f>
        <v>0</v>
      </c>
      <c r="AF55" s="32">
        <f>IF(AQ55="2",BH55,0)</f>
        <v>0</v>
      </c>
      <c r="AG55" s="32">
        <f>IF(AQ55="2",BI55,0)</f>
        <v>0</v>
      </c>
      <c r="AH55" s="32">
        <f>IF(AQ55="0",BJ55,0)</f>
        <v>0</v>
      </c>
      <c r="AI55" s="28"/>
      <c r="AJ55" s="15">
        <f>IF(AN55=0,K55,0)</f>
        <v>0</v>
      </c>
      <c r="AK55" s="15">
        <f>IF(AN55=15,K55,0)</f>
        <v>0</v>
      </c>
      <c r="AL55" s="15">
        <f>IF(AN55=21,K55,0)</f>
        <v>0</v>
      </c>
      <c r="AN55" s="32">
        <v>21</v>
      </c>
      <c r="AO55" s="32">
        <f>H55*0.474687224669604</f>
        <v>0</v>
      </c>
      <c r="AP55" s="32">
        <f>H55*(1-0.474687224669604)</f>
        <v>0</v>
      </c>
      <c r="AQ55" s="27" t="s">
        <v>7</v>
      </c>
      <c r="AV55" s="32">
        <f>AW55+AX55</f>
        <v>0</v>
      </c>
      <c r="AW55" s="32">
        <f>G55*AO55</f>
        <v>0</v>
      </c>
      <c r="AX55" s="32">
        <f>G55*AP55</f>
        <v>0</v>
      </c>
      <c r="AY55" s="33" t="s">
        <v>667</v>
      </c>
      <c r="AZ55" s="33" t="s">
        <v>686</v>
      </c>
      <c r="BA55" s="28" t="s">
        <v>692</v>
      </c>
      <c r="BC55" s="32">
        <f>AW55+AX55</f>
        <v>0</v>
      </c>
      <c r="BD55" s="32">
        <f>H55/(100-BE55)*100</f>
        <v>0</v>
      </c>
      <c r="BE55" s="32">
        <v>0</v>
      </c>
      <c r="BF55" s="32">
        <f>53</f>
        <v>53</v>
      </c>
      <c r="BH55" s="15">
        <f>G55*AO55</f>
        <v>0</v>
      </c>
      <c r="BI55" s="15">
        <f>G55*AP55</f>
        <v>0</v>
      </c>
      <c r="BJ55" s="15">
        <f>G55*H55</f>
        <v>0</v>
      </c>
    </row>
    <row r="56" spans="1:62" x14ac:dyDescent="0.2">
      <c r="C56" s="58" t="s">
        <v>317</v>
      </c>
      <c r="D56" s="59"/>
      <c r="E56" s="59"/>
      <c r="G56" s="16">
        <v>472.3</v>
      </c>
    </row>
    <row r="57" spans="1:62" x14ac:dyDescent="0.2">
      <c r="C57" s="58" t="s">
        <v>318</v>
      </c>
      <c r="D57" s="59"/>
      <c r="E57" s="59"/>
      <c r="G57" s="16">
        <v>351.9</v>
      </c>
    </row>
    <row r="58" spans="1:62" x14ac:dyDescent="0.2">
      <c r="C58" s="58" t="s">
        <v>319</v>
      </c>
      <c r="D58" s="59"/>
      <c r="E58" s="59"/>
      <c r="G58" s="16">
        <v>165</v>
      </c>
    </row>
    <row r="59" spans="1:62" x14ac:dyDescent="0.2">
      <c r="C59" s="58" t="s">
        <v>320</v>
      </c>
      <c r="D59" s="59"/>
      <c r="E59" s="59"/>
      <c r="G59" s="16">
        <v>157.4</v>
      </c>
    </row>
    <row r="60" spans="1:62" x14ac:dyDescent="0.2">
      <c r="C60" s="58" t="s">
        <v>321</v>
      </c>
      <c r="D60" s="59"/>
      <c r="E60" s="59"/>
      <c r="G60" s="16">
        <v>-308.42</v>
      </c>
    </row>
    <row r="61" spans="1:62" x14ac:dyDescent="0.2">
      <c r="C61" s="58" t="s">
        <v>322</v>
      </c>
      <c r="D61" s="59"/>
      <c r="E61" s="59"/>
      <c r="G61" s="16">
        <v>0</v>
      </c>
    </row>
    <row r="62" spans="1:62" x14ac:dyDescent="0.2">
      <c r="A62" s="4" t="s">
        <v>23</v>
      </c>
      <c r="B62" s="4" t="s">
        <v>150</v>
      </c>
      <c r="C62" s="56" t="s">
        <v>323</v>
      </c>
      <c r="D62" s="57"/>
      <c r="E62" s="57"/>
      <c r="F62" s="4" t="s">
        <v>625</v>
      </c>
      <c r="G62" s="15">
        <v>85.677000000000007</v>
      </c>
      <c r="H62" s="15">
        <v>0</v>
      </c>
      <c r="I62" s="15">
        <f>G62*AO62</f>
        <v>0</v>
      </c>
      <c r="J62" s="15">
        <f>G62*AP62</f>
        <v>0</v>
      </c>
      <c r="K62" s="15">
        <f>G62*H62</f>
        <v>0</v>
      </c>
      <c r="L62" s="27" t="s">
        <v>648</v>
      </c>
      <c r="Z62" s="32">
        <f>IF(AQ62="5",BJ62,0)</f>
        <v>0</v>
      </c>
      <c r="AB62" s="32">
        <f>IF(AQ62="1",BH62,0)</f>
        <v>0</v>
      </c>
      <c r="AC62" s="32">
        <f>IF(AQ62="1",BI62,0)</f>
        <v>0</v>
      </c>
      <c r="AD62" s="32">
        <f>IF(AQ62="7",BH62,0)</f>
        <v>0</v>
      </c>
      <c r="AE62" s="32">
        <f>IF(AQ62="7",BI62,0)</f>
        <v>0</v>
      </c>
      <c r="AF62" s="32">
        <f>IF(AQ62="2",BH62,0)</f>
        <v>0</v>
      </c>
      <c r="AG62" s="32">
        <f>IF(AQ62="2",BI62,0)</f>
        <v>0</v>
      </c>
      <c r="AH62" s="32">
        <f>IF(AQ62="0",BJ62,0)</f>
        <v>0</v>
      </c>
      <c r="AI62" s="28"/>
      <c r="AJ62" s="15">
        <f>IF(AN62=0,K62,0)</f>
        <v>0</v>
      </c>
      <c r="AK62" s="15">
        <f>IF(AN62=15,K62,0)</f>
        <v>0</v>
      </c>
      <c r="AL62" s="15">
        <f>IF(AN62=21,K62,0)</f>
        <v>0</v>
      </c>
      <c r="AN62" s="32">
        <v>21</v>
      </c>
      <c r="AO62" s="32">
        <f>H62*0.346495192307692</f>
        <v>0</v>
      </c>
      <c r="AP62" s="32">
        <f>H62*(1-0.346495192307692)</f>
        <v>0</v>
      </c>
      <c r="AQ62" s="27" t="s">
        <v>7</v>
      </c>
      <c r="AV62" s="32">
        <f>AW62+AX62</f>
        <v>0</v>
      </c>
      <c r="AW62" s="32">
        <f>G62*AO62</f>
        <v>0</v>
      </c>
      <c r="AX62" s="32">
        <f>G62*AP62</f>
        <v>0</v>
      </c>
      <c r="AY62" s="33" t="s">
        <v>667</v>
      </c>
      <c r="AZ62" s="33" t="s">
        <v>686</v>
      </c>
      <c r="BA62" s="28" t="s">
        <v>692</v>
      </c>
      <c r="BC62" s="32">
        <f>AW62+AX62</f>
        <v>0</v>
      </c>
      <c r="BD62" s="32">
        <f>H62/(100-BE62)*100</f>
        <v>0</v>
      </c>
      <c r="BE62" s="32">
        <v>0</v>
      </c>
      <c r="BF62" s="32">
        <f>60</f>
        <v>60</v>
      </c>
      <c r="BH62" s="15">
        <f>G62*AO62</f>
        <v>0</v>
      </c>
      <c r="BI62" s="15">
        <f>G62*AP62</f>
        <v>0</v>
      </c>
      <c r="BJ62" s="15">
        <f>G62*H62</f>
        <v>0</v>
      </c>
    </row>
    <row r="63" spans="1:62" x14ac:dyDescent="0.2">
      <c r="C63" s="58" t="s">
        <v>324</v>
      </c>
      <c r="D63" s="59"/>
      <c r="E63" s="59"/>
      <c r="G63" s="16">
        <v>8.64</v>
      </c>
    </row>
    <row r="64" spans="1:62" x14ac:dyDescent="0.2">
      <c r="C64" s="58" t="s">
        <v>325</v>
      </c>
      <c r="D64" s="59"/>
      <c r="E64" s="59"/>
      <c r="G64" s="16">
        <v>4.32</v>
      </c>
    </row>
    <row r="65" spans="3:7" x14ac:dyDescent="0.2">
      <c r="C65" s="58" t="s">
        <v>326</v>
      </c>
      <c r="D65" s="59"/>
      <c r="E65" s="59"/>
      <c r="G65" s="16">
        <v>15.084</v>
      </c>
    </row>
    <row r="66" spans="3:7" x14ac:dyDescent="0.2">
      <c r="C66" s="58" t="s">
        <v>327</v>
      </c>
      <c r="D66" s="59"/>
      <c r="E66" s="59"/>
      <c r="G66" s="16">
        <v>1.8</v>
      </c>
    </row>
    <row r="67" spans="3:7" x14ac:dyDescent="0.2">
      <c r="C67" s="58" t="s">
        <v>328</v>
      </c>
      <c r="D67" s="59"/>
      <c r="E67" s="59"/>
      <c r="G67" s="16">
        <v>0</v>
      </c>
    </row>
    <row r="68" spans="3:7" x14ac:dyDescent="0.2">
      <c r="C68" s="58" t="s">
        <v>329</v>
      </c>
      <c r="D68" s="59"/>
      <c r="E68" s="59"/>
      <c r="G68" s="16">
        <v>2.52</v>
      </c>
    </row>
    <row r="69" spans="3:7" x14ac:dyDescent="0.2">
      <c r="C69" s="58" t="s">
        <v>330</v>
      </c>
      <c r="D69" s="59"/>
      <c r="E69" s="59"/>
      <c r="G69" s="16">
        <v>1.44</v>
      </c>
    </row>
    <row r="70" spans="3:7" x14ac:dyDescent="0.2">
      <c r="C70" s="58" t="s">
        <v>331</v>
      </c>
      <c r="D70" s="59"/>
      <c r="E70" s="59"/>
      <c r="G70" s="16">
        <v>1.44</v>
      </c>
    </row>
    <row r="71" spans="3:7" x14ac:dyDescent="0.2">
      <c r="C71" s="58" t="s">
        <v>332</v>
      </c>
      <c r="D71" s="59"/>
      <c r="E71" s="59"/>
      <c r="G71" s="16">
        <v>5.13</v>
      </c>
    </row>
    <row r="72" spans="3:7" x14ac:dyDescent="0.2">
      <c r="C72" s="58" t="s">
        <v>333</v>
      </c>
      <c r="D72" s="59"/>
      <c r="E72" s="59"/>
      <c r="G72" s="16">
        <v>13.68</v>
      </c>
    </row>
    <row r="73" spans="3:7" x14ac:dyDescent="0.2">
      <c r="C73" s="58" t="s">
        <v>334</v>
      </c>
      <c r="D73" s="59"/>
      <c r="E73" s="59"/>
      <c r="G73" s="16">
        <v>5.766</v>
      </c>
    </row>
    <row r="74" spans="3:7" x14ac:dyDescent="0.2">
      <c r="C74" s="58" t="s">
        <v>335</v>
      </c>
      <c r="D74" s="59"/>
      <c r="E74" s="59"/>
      <c r="G74" s="16">
        <v>16.2</v>
      </c>
    </row>
    <row r="75" spans="3:7" x14ac:dyDescent="0.2">
      <c r="C75" s="58" t="s">
        <v>336</v>
      </c>
      <c r="D75" s="59"/>
      <c r="E75" s="59"/>
      <c r="G75" s="16">
        <v>0</v>
      </c>
    </row>
    <row r="76" spans="3:7" x14ac:dyDescent="0.2">
      <c r="C76" s="58" t="s">
        <v>337</v>
      </c>
      <c r="D76" s="59"/>
      <c r="E76" s="59"/>
      <c r="G76" s="16">
        <v>4.92</v>
      </c>
    </row>
    <row r="77" spans="3:7" x14ac:dyDescent="0.2">
      <c r="C77" s="58" t="s">
        <v>338</v>
      </c>
      <c r="D77" s="59"/>
      <c r="E77" s="59"/>
      <c r="G77" s="16">
        <v>1.44</v>
      </c>
    </row>
    <row r="78" spans="3:7" x14ac:dyDescent="0.2">
      <c r="C78" s="58" t="s">
        <v>339</v>
      </c>
      <c r="D78" s="59"/>
      <c r="E78" s="59"/>
      <c r="G78" s="16">
        <v>0</v>
      </c>
    </row>
    <row r="79" spans="3:7" x14ac:dyDescent="0.2">
      <c r="C79" s="58" t="s">
        <v>340</v>
      </c>
      <c r="D79" s="59"/>
      <c r="E79" s="59"/>
      <c r="G79" s="16">
        <v>1.677</v>
      </c>
    </row>
    <row r="80" spans="3:7" x14ac:dyDescent="0.2">
      <c r="C80" s="58" t="s">
        <v>341</v>
      </c>
      <c r="D80" s="59"/>
      <c r="E80" s="59"/>
      <c r="G80" s="16">
        <v>1.62</v>
      </c>
    </row>
    <row r="81" spans="1:62" x14ac:dyDescent="0.2">
      <c r="C81" s="58" t="s">
        <v>342</v>
      </c>
      <c r="D81" s="59"/>
      <c r="E81" s="59"/>
      <c r="G81" s="16">
        <v>0</v>
      </c>
    </row>
    <row r="82" spans="1:62" x14ac:dyDescent="0.2">
      <c r="A82" s="4" t="s">
        <v>24</v>
      </c>
      <c r="B82" s="4" t="s">
        <v>151</v>
      </c>
      <c r="C82" s="56" t="s">
        <v>343</v>
      </c>
      <c r="D82" s="57"/>
      <c r="E82" s="57"/>
      <c r="F82" s="4" t="s">
        <v>625</v>
      </c>
      <c r="G82" s="15">
        <v>30.036000000000001</v>
      </c>
      <c r="H82" s="15">
        <v>0</v>
      </c>
      <c r="I82" s="15">
        <f>G82*AO82</f>
        <v>0</v>
      </c>
      <c r="J82" s="15">
        <f>G82*AP82</f>
        <v>0</v>
      </c>
      <c r="K82" s="15">
        <f>G82*H82</f>
        <v>0</v>
      </c>
      <c r="L82" s="27" t="s">
        <v>648</v>
      </c>
      <c r="Z82" s="32">
        <f>IF(AQ82="5",BJ82,0)</f>
        <v>0</v>
      </c>
      <c r="AB82" s="32">
        <f>IF(AQ82="1",BH82,0)</f>
        <v>0</v>
      </c>
      <c r="AC82" s="32">
        <f>IF(AQ82="1",BI82,0)</f>
        <v>0</v>
      </c>
      <c r="AD82" s="32">
        <f>IF(AQ82="7",BH82,0)</f>
        <v>0</v>
      </c>
      <c r="AE82" s="32">
        <f>IF(AQ82="7",BI82,0)</f>
        <v>0</v>
      </c>
      <c r="AF82" s="32">
        <f>IF(AQ82="2",BH82,0)</f>
        <v>0</v>
      </c>
      <c r="AG82" s="32">
        <f>IF(AQ82="2",BI82,0)</f>
        <v>0</v>
      </c>
      <c r="AH82" s="32">
        <f>IF(AQ82="0",BJ82,0)</f>
        <v>0</v>
      </c>
      <c r="AI82" s="28"/>
      <c r="AJ82" s="15">
        <f>IF(AN82=0,K82,0)</f>
        <v>0</v>
      </c>
      <c r="AK82" s="15">
        <f>IF(AN82=15,K82,0)</f>
        <v>0</v>
      </c>
      <c r="AL82" s="15">
        <f>IF(AN82=21,K82,0)</f>
        <v>0</v>
      </c>
      <c r="AN82" s="32">
        <v>21</v>
      </c>
      <c r="AO82" s="32">
        <f>H82*0.315567206489166</f>
        <v>0</v>
      </c>
      <c r="AP82" s="32">
        <f>H82*(1-0.315567206489166)</f>
        <v>0</v>
      </c>
      <c r="AQ82" s="27" t="s">
        <v>7</v>
      </c>
      <c r="AV82" s="32">
        <f>AW82+AX82</f>
        <v>0</v>
      </c>
      <c r="AW82" s="32">
        <f>G82*AO82</f>
        <v>0</v>
      </c>
      <c r="AX82" s="32">
        <f>G82*AP82</f>
        <v>0</v>
      </c>
      <c r="AY82" s="33" t="s">
        <v>667</v>
      </c>
      <c r="AZ82" s="33" t="s">
        <v>686</v>
      </c>
      <c r="BA82" s="28" t="s">
        <v>692</v>
      </c>
      <c r="BC82" s="32">
        <f>AW82+AX82</f>
        <v>0</v>
      </c>
      <c r="BD82" s="32">
        <f>H82/(100-BE82)*100</f>
        <v>0</v>
      </c>
      <c r="BE82" s="32">
        <v>0</v>
      </c>
      <c r="BF82" s="32">
        <f>80</f>
        <v>80</v>
      </c>
      <c r="BH82" s="15">
        <f>G82*AO82</f>
        <v>0</v>
      </c>
      <c r="BI82" s="15">
        <f>G82*AP82</f>
        <v>0</v>
      </c>
      <c r="BJ82" s="15">
        <f>G82*H82</f>
        <v>0</v>
      </c>
    </row>
    <row r="83" spans="1:62" x14ac:dyDescent="0.2">
      <c r="C83" s="58" t="s">
        <v>344</v>
      </c>
      <c r="D83" s="59"/>
      <c r="E83" s="59"/>
      <c r="G83" s="16">
        <v>30.036000000000001</v>
      </c>
    </row>
    <row r="84" spans="1:62" x14ac:dyDescent="0.2">
      <c r="A84" s="4" t="s">
        <v>25</v>
      </c>
      <c r="B84" s="4" t="s">
        <v>152</v>
      </c>
      <c r="C84" s="56" t="s">
        <v>345</v>
      </c>
      <c r="D84" s="57"/>
      <c r="E84" s="57"/>
      <c r="F84" s="4" t="s">
        <v>625</v>
      </c>
      <c r="G84" s="15">
        <v>300</v>
      </c>
      <c r="H84" s="15">
        <v>0</v>
      </c>
      <c r="I84" s="15">
        <f>G84*AO84</f>
        <v>0</v>
      </c>
      <c r="J84" s="15">
        <f>G84*AP84</f>
        <v>0</v>
      </c>
      <c r="K84" s="15">
        <f>G84*H84</f>
        <v>0</v>
      </c>
      <c r="L84" s="27" t="s">
        <v>648</v>
      </c>
      <c r="Z84" s="32">
        <f>IF(AQ84="5",BJ84,0)</f>
        <v>0</v>
      </c>
      <c r="AB84" s="32">
        <f>IF(AQ84="1",BH84,0)</f>
        <v>0</v>
      </c>
      <c r="AC84" s="32">
        <f>IF(AQ84="1",BI84,0)</f>
        <v>0</v>
      </c>
      <c r="AD84" s="32">
        <f>IF(AQ84="7",BH84,0)</f>
        <v>0</v>
      </c>
      <c r="AE84" s="32">
        <f>IF(AQ84="7",BI84,0)</f>
        <v>0</v>
      </c>
      <c r="AF84" s="32">
        <f>IF(AQ84="2",BH84,0)</f>
        <v>0</v>
      </c>
      <c r="AG84" s="32">
        <f>IF(AQ84="2",BI84,0)</f>
        <v>0</v>
      </c>
      <c r="AH84" s="32">
        <f>IF(AQ84="0",BJ84,0)</f>
        <v>0</v>
      </c>
      <c r="AI84" s="28"/>
      <c r="AJ84" s="15">
        <f>IF(AN84=0,K84,0)</f>
        <v>0</v>
      </c>
      <c r="AK84" s="15">
        <f>IF(AN84=15,K84,0)</f>
        <v>0</v>
      </c>
      <c r="AL84" s="15">
        <f>IF(AN84=21,K84,0)</f>
        <v>0</v>
      </c>
      <c r="AN84" s="32">
        <v>21</v>
      </c>
      <c r="AO84" s="32">
        <f>H84*0.229030100334448</f>
        <v>0</v>
      </c>
      <c r="AP84" s="32">
        <f>H84*(1-0.229030100334448)</f>
        <v>0</v>
      </c>
      <c r="AQ84" s="27" t="s">
        <v>7</v>
      </c>
      <c r="AV84" s="32">
        <f>AW84+AX84</f>
        <v>0</v>
      </c>
      <c r="AW84" s="32">
        <f>G84*AO84</f>
        <v>0</v>
      </c>
      <c r="AX84" s="32">
        <f>G84*AP84</f>
        <v>0</v>
      </c>
      <c r="AY84" s="33" t="s">
        <v>667</v>
      </c>
      <c r="AZ84" s="33" t="s">
        <v>686</v>
      </c>
      <c r="BA84" s="28" t="s">
        <v>692</v>
      </c>
      <c r="BC84" s="32">
        <f>AW84+AX84</f>
        <v>0</v>
      </c>
      <c r="BD84" s="32">
        <f>H84/(100-BE84)*100</f>
        <v>0</v>
      </c>
      <c r="BE84" s="32">
        <v>0</v>
      </c>
      <c r="BF84" s="32">
        <f>82</f>
        <v>82</v>
      </c>
      <c r="BH84" s="15">
        <f>G84*AO84</f>
        <v>0</v>
      </c>
      <c r="BI84" s="15">
        <f>G84*AP84</f>
        <v>0</v>
      </c>
      <c r="BJ84" s="15">
        <f>G84*H84</f>
        <v>0</v>
      </c>
    </row>
    <row r="85" spans="1:62" x14ac:dyDescent="0.2">
      <c r="C85" s="58" t="s">
        <v>346</v>
      </c>
      <c r="D85" s="59"/>
      <c r="E85" s="59"/>
      <c r="G85" s="16">
        <v>300</v>
      </c>
    </row>
    <row r="86" spans="1:62" x14ac:dyDescent="0.2">
      <c r="A86" s="4" t="s">
        <v>26</v>
      </c>
      <c r="B86" s="4" t="s">
        <v>153</v>
      </c>
      <c r="C86" s="56" t="s">
        <v>347</v>
      </c>
      <c r="D86" s="57"/>
      <c r="E86" s="57"/>
      <c r="F86" s="4" t="s">
        <v>625</v>
      </c>
      <c r="G86" s="15">
        <v>359.78500000000003</v>
      </c>
      <c r="H86" s="15">
        <v>0</v>
      </c>
      <c r="I86" s="15">
        <f>G86*AO86</f>
        <v>0</v>
      </c>
      <c r="J86" s="15">
        <f>G86*AP86</f>
        <v>0</v>
      </c>
      <c r="K86" s="15">
        <f>G86*H86</f>
        <v>0</v>
      </c>
      <c r="L86" s="27" t="s">
        <v>648</v>
      </c>
      <c r="Z86" s="32">
        <f>IF(AQ86="5",BJ86,0)</f>
        <v>0</v>
      </c>
      <c r="AB86" s="32">
        <f>IF(AQ86="1",BH86,0)</f>
        <v>0</v>
      </c>
      <c r="AC86" s="32">
        <f>IF(AQ86="1",BI86,0)</f>
        <v>0</v>
      </c>
      <c r="AD86" s="32">
        <f>IF(AQ86="7",BH86,0)</f>
        <v>0</v>
      </c>
      <c r="AE86" s="32">
        <f>IF(AQ86="7",BI86,0)</f>
        <v>0</v>
      </c>
      <c r="AF86" s="32">
        <f>IF(AQ86="2",BH86,0)</f>
        <v>0</v>
      </c>
      <c r="AG86" s="32">
        <f>IF(AQ86="2",BI86,0)</f>
        <v>0</v>
      </c>
      <c r="AH86" s="32">
        <f>IF(AQ86="0",BJ86,0)</f>
        <v>0</v>
      </c>
      <c r="AI86" s="28"/>
      <c r="AJ86" s="15">
        <f>IF(AN86=0,K86,0)</f>
        <v>0</v>
      </c>
      <c r="AK86" s="15">
        <f>IF(AN86=15,K86,0)</f>
        <v>0</v>
      </c>
      <c r="AL86" s="15">
        <f>IF(AN86=21,K86,0)</f>
        <v>0</v>
      </c>
      <c r="AN86" s="32">
        <v>21</v>
      </c>
      <c r="AO86" s="32">
        <f>H86*0.293654347327634</f>
        <v>0</v>
      </c>
      <c r="AP86" s="32">
        <f>H86*(1-0.293654347327634)</f>
        <v>0</v>
      </c>
      <c r="AQ86" s="27" t="s">
        <v>7</v>
      </c>
      <c r="AV86" s="32">
        <f>AW86+AX86</f>
        <v>0</v>
      </c>
      <c r="AW86" s="32">
        <f>G86*AO86</f>
        <v>0</v>
      </c>
      <c r="AX86" s="32">
        <f>G86*AP86</f>
        <v>0</v>
      </c>
      <c r="AY86" s="33" t="s">
        <v>667</v>
      </c>
      <c r="AZ86" s="33" t="s">
        <v>686</v>
      </c>
      <c r="BA86" s="28" t="s">
        <v>692</v>
      </c>
      <c r="BC86" s="32">
        <f>AW86+AX86</f>
        <v>0</v>
      </c>
      <c r="BD86" s="32">
        <f>H86/(100-BE86)*100</f>
        <v>0</v>
      </c>
      <c r="BE86" s="32">
        <v>0</v>
      </c>
      <c r="BF86" s="32">
        <f>84</f>
        <v>84</v>
      </c>
      <c r="BH86" s="15">
        <f>G86*AO86</f>
        <v>0</v>
      </c>
      <c r="BI86" s="15">
        <f>G86*AP86</f>
        <v>0</v>
      </c>
      <c r="BJ86" s="15">
        <f>G86*H86</f>
        <v>0</v>
      </c>
    </row>
    <row r="87" spans="1:62" x14ac:dyDescent="0.2">
      <c r="C87" s="58" t="s">
        <v>348</v>
      </c>
      <c r="D87" s="59"/>
      <c r="E87" s="59"/>
      <c r="G87" s="16">
        <v>334.58499999999998</v>
      </c>
    </row>
    <row r="88" spans="1:62" x14ac:dyDescent="0.2">
      <c r="C88" s="58" t="s">
        <v>349</v>
      </c>
      <c r="D88" s="59"/>
      <c r="E88" s="59"/>
      <c r="G88" s="16">
        <v>11.52</v>
      </c>
    </row>
    <row r="89" spans="1:62" x14ac:dyDescent="0.2">
      <c r="C89" s="58" t="s">
        <v>350</v>
      </c>
      <c r="D89" s="59"/>
      <c r="E89" s="59"/>
      <c r="G89" s="16">
        <v>8.4</v>
      </c>
    </row>
    <row r="90" spans="1:62" x14ac:dyDescent="0.2">
      <c r="C90" s="58" t="s">
        <v>351</v>
      </c>
      <c r="D90" s="59"/>
      <c r="E90" s="59"/>
      <c r="G90" s="16">
        <v>5.28</v>
      </c>
    </row>
    <row r="91" spans="1:62" x14ac:dyDescent="0.2">
      <c r="A91" s="4" t="s">
        <v>27</v>
      </c>
      <c r="B91" s="4" t="s">
        <v>154</v>
      </c>
      <c r="C91" s="56" t="s">
        <v>352</v>
      </c>
      <c r="D91" s="57"/>
      <c r="E91" s="57"/>
      <c r="F91" s="4" t="s">
        <v>625</v>
      </c>
      <c r="G91" s="15">
        <v>78.75</v>
      </c>
      <c r="H91" s="15">
        <v>0</v>
      </c>
      <c r="I91" s="15">
        <f>G91*AO91</f>
        <v>0</v>
      </c>
      <c r="J91" s="15">
        <f>G91*AP91</f>
        <v>0</v>
      </c>
      <c r="K91" s="15">
        <f>G91*H91</f>
        <v>0</v>
      </c>
      <c r="L91" s="27" t="s">
        <v>648</v>
      </c>
      <c r="Z91" s="32">
        <f>IF(AQ91="5",BJ91,0)</f>
        <v>0</v>
      </c>
      <c r="AB91" s="32">
        <f>IF(AQ91="1",BH91,0)</f>
        <v>0</v>
      </c>
      <c r="AC91" s="32">
        <f>IF(AQ91="1",BI91,0)</f>
        <v>0</v>
      </c>
      <c r="AD91" s="32">
        <f>IF(AQ91="7",BH91,0)</f>
        <v>0</v>
      </c>
      <c r="AE91" s="32">
        <f>IF(AQ91="7",BI91,0)</f>
        <v>0</v>
      </c>
      <c r="AF91" s="32">
        <f>IF(AQ91="2",BH91,0)</f>
        <v>0</v>
      </c>
      <c r="AG91" s="32">
        <f>IF(AQ91="2",BI91,0)</f>
        <v>0</v>
      </c>
      <c r="AH91" s="32">
        <f>IF(AQ91="0",BJ91,0)</f>
        <v>0</v>
      </c>
      <c r="AI91" s="28"/>
      <c r="AJ91" s="15">
        <f>IF(AN91=0,K91,0)</f>
        <v>0</v>
      </c>
      <c r="AK91" s="15">
        <f>IF(AN91=15,K91,0)</f>
        <v>0</v>
      </c>
      <c r="AL91" s="15">
        <f>IF(AN91=21,K91,0)</f>
        <v>0</v>
      </c>
      <c r="AN91" s="32">
        <v>21</v>
      </c>
      <c r="AO91" s="32">
        <f>H91*0.543139583108965</f>
        <v>0</v>
      </c>
      <c r="AP91" s="32">
        <f>H91*(1-0.543139583108965)</f>
        <v>0</v>
      </c>
      <c r="AQ91" s="27" t="s">
        <v>7</v>
      </c>
      <c r="AV91" s="32">
        <f>AW91+AX91</f>
        <v>0</v>
      </c>
      <c r="AW91" s="32">
        <f>G91*AO91</f>
        <v>0</v>
      </c>
      <c r="AX91" s="32">
        <f>G91*AP91</f>
        <v>0</v>
      </c>
      <c r="AY91" s="33" t="s">
        <v>667</v>
      </c>
      <c r="AZ91" s="33" t="s">
        <v>686</v>
      </c>
      <c r="BA91" s="28" t="s">
        <v>692</v>
      </c>
      <c r="BC91" s="32">
        <f>AW91+AX91</f>
        <v>0</v>
      </c>
      <c r="BD91" s="32">
        <f>H91/(100-BE91)*100</f>
        <v>0</v>
      </c>
      <c r="BE91" s="32">
        <v>0</v>
      </c>
      <c r="BF91" s="32">
        <f>89</f>
        <v>89</v>
      </c>
      <c r="BH91" s="15">
        <f>G91*AO91</f>
        <v>0</v>
      </c>
      <c r="BI91" s="15">
        <f>G91*AP91</f>
        <v>0</v>
      </c>
      <c r="BJ91" s="15">
        <f>G91*H91</f>
        <v>0</v>
      </c>
    </row>
    <row r="92" spans="1:62" x14ac:dyDescent="0.2">
      <c r="C92" s="58" t="s">
        <v>353</v>
      </c>
      <c r="D92" s="59"/>
      <c r="E92" s="59"/>
      <c r="G92" s="16">
        <v>78.75</v>
      </c>
    </row>
    <row r="93" spans="1:62" x14ac:dyDescent="0.2">
      <c r="A93" s="4" t="s">
        <v>28</v>
      </c>
      <c r="B93" s="4" t="s">
        <v>155</v>
      </c>
      <c r="C93" s="56" t="s">
        <v>354</v>
      </c>
      <c r="D93" s="57"/>
      <c r="E93" s="57"/>
      <c r="F93" s="4" t="s">
        <v>628</v>
      </c>
      <c r="G93" s="15">
        <v>223.07</v>
      </c>
      <c r="H93" s="15">
        <v>0</v>
      </c>
      <c r="I93" s="15">
        <f>G93*AO93</f>
        <v>0</v>
      </c>
      <c r="J93" s="15">
        <f>G93*AP93</f>
        <v>0</v>
      </c>
      <c r="K93" s="15">
        <f>G93*H93</f>
        <v>0</v>
      </c>
      <c r="L93" s="27" t="s">
        <v>648</v>
      </c>
      <c r="Z93" s="32">
        <f>IF(AQ93="5",BJ93,0)</f>
        <v>0</v>
      </c>
      <c r="AB93" s="32">
        <f>IF(AQ93="1",BH93,0)</f>
        <v>0</v>
      </c>
      <c r="AC93" s="32">
        <f>IF(AQ93="1",BI93,0)</f>
        <v>0</v>
      </c>
      <c r="AD93" s="32">
        <f>IF(AQ93="7",BH93,0)</f>
        <v>0</v>
      </c>
      <c r="AE93" s="32">
        <f>IF(AQ93="7",BI93,0)</f>
        <v>0</v>
      </c>
      <c r="AF93" s="32">
        <f>IF(AQ93="2",BH93,0)</f>
        <v>0</v>
      </c>
      <c r="AG93" s="32">
        <f>IF(AQ93="2",BI93,0)</f>
        <v>0</v>
      </c>
      <c r="AH93" s="32">
        <f>IF(AQ93="0",BJ93,0)</f>
        <v>0</v>
      </c>
      <c r="AI93" s="28"/>
      <c r="AJ93" s="15">
        <f>IF(AN93=0,K93,0)</f>
        <v>0</v>
      </c>
      <c r="AK93" s="15">
        <f>IF(AN93=15,K93,0)</f>
        <v>0</v>
      </c>
      <c r="AL93" s="15">
        <f>IF(AN93=21,K93,0)</f>
        <v>0</v>
      </c>
      <c r="AN93" s="32">
        <v>21</v>
      </c>
      <c r="AO93" s="32">
        <f>H93*0</f>
        <v>0</v>
      </c>
      <c r="AP93" s="32">
        <f>H93*(1-0)</f>
        <v>0</v>
      </c>
      <c r="AQ93" s="27" t="s">
        <v>7</v>
      </c>
      <c r="AV93" s="32">
        <f>AW93+AX93</f>
        <v>0</v>
      </c>
      <c r="AW93" s="32">
        <f>G93*AO93</f>
        <v>0</v>
      </c>
      <c r="AX93" s="32">
        <f>G93*AP93</f>
        <v>0</v>
      </c>
      <c r="AY93" s="33" t="s">
        <v>667</v>
      </c>
      <c r="AZ93" s="33" t="s">
        <v>686</v>
      </c>
      <c r="BA93" s="28" t="s">
        <v>692</v>
      </c>
      <c r="BC93" s="32">
        <f>AW93+AX93</f>
        <v>0</v>
      </c>
      <c r="BD93" s="32">
        <f>H93/(100-BE93)*100</f>
        <v>0</v>
      </c>
      <c r="BE93" s="32">
        <v>0</v>
      </c>
      <c r="BF93" s="32">
        <f>91</f>
        <v>91</v>
      </c>
      <c r="BH93" s="15">
        <f>G93*AO93</f>
        <v>0</v>
      </c>
      <c r="BI93" s="15">
        <f>G93*AP93</f>
        <v>0</v>
      </c>
      <c r="BJ93" s="15">
        <f>G93*H93</f>
        <v>0</v>
      </c>
    </row>
    <row r="94" spans="1:62" x14ac:dyDescent="0.2">
      <c r="C94" s="58" t="s">
        <v>355</v>
      </c>
      <c r="D94" s="59"/>
      <c r="E94" s="59"/>
      <c r="G94" s="16">
        <v>122.95</v>
      </c>
    </row>
    <row r="95" spans="1:62" x14ac:dyDescent="0.2">
      <c r="C95" s="58" t="s">
        <v>356</v>
      </c>
      <c r="D95" s="59"/>
      <c r="E95" s="59"/>
      <c r="G95" s="16">
        <v>100.12</v>
      </c>
    </row>
    <row r="96" spans="1:62" x14ac:dyDescent="0.2">
      <c r="A96" s="6" t="s">
        <v>29</v>
      </c>
      <c r="B96" s="6" t="s">
        <v>156</v>
      </c>
      <c r="C96" s="68" t="s">
        <v>357</v>
      </c>
      <c r="D96" s="69"/>
      <c r="E96" s="69"/>
      <c r="F96" s="6" t="s">
        <v>628</v>
      </c>
      <c r="G96" s="17">
        <v>122.95</v>
      </c>
      <c r="H96" s="17">
        <v>0</v>
      </c>
      <c r="I96" s="17">
        <f>G96*AO96</f>
        <v>0</v>
      </c>
      <c r="J96" s="17">
        <f>G96*AP96</f>
        <v>0</v>
      </c>
      <c r="K96" s="17">
        <f>G96*H96</f>
        <v>0</v>
      </c>
      <c r="L96" s="29" t="s">
        <v>648</v>
      </c>
      <c r="Z96" s="32">
        <f>IF(AQ96="5",BJ96,0)</f>
        <v>0</v>
      </c>
      <c r="AB96" s="32">
        <f>IF(AQ96="1",BH96,0)</f>
        <v>0</v>
      </c>
      <c r="AC96" s="32">
        <f>IF(AQ96="1",BI96,0)</f>
        <v>0</v>
      </c>
      <c r="AD96" s="32">
        <f>IF(AQ96="7",BH96,0)</f>
        <v>0</v>
      </c>
      <c r="AE96" s="32">
        <f>IF(AQ96="7",BI96,0)</f>
        <v>0</v>
      </c>
      <c r="AF96" s="32">
        <f>IF(AQ96="2",BH96,0)</f>
        <v>0</v>
      </c>
      <c r="AG96" s="32">
        <f>IF(AQ96="2",BI96,0)</f>
        <v>0</v>
      </c>
      <c r="AH96" s="32">
        <f>IF(AQ96="0",BJ96,0)</f>
        <v>0</v>
      </c>
      <c r="AI96" s="28"/>
      <c r="AJ96" s="17">
        <f>IF(AN96=0,K96,0)</f>
        <v>0</v>
      </c>
      <c r="AK96" s="17">
        <f>IF(AN96=15,K96,0)</f>
        <v>0</v>
      </c>
      <c r="AL96" s="17">
        <f>IF(AN96=21,K96,0)</f>
        <v>0</v>
      </c>
      <c r="AN96" s="32">
        <v>21</v>
      </c>
      <c r="AO96" s="32">
        <f>H96*1</f>
        <v>0</v>
      </c>
      <c r="AP96" s="32">
        <f>H96*(1-1)</f>
        <v>0</v>
      </c>
      <c r="AQ96" s="29" t="s">
        <v>7</v>
      </c>
      <c r="AV96" s="32">
        <f>AW96+AX96</f>
        <v>0</v>
      </c>
      <c r="AW96" s="32">
        <f>G96*AO96</f>
        <v>0</v>
      </c>
      <c r="AX96" s="32">
        <f>G96*AP96</f>
        <v>0</v>
      </c>
      <c r="AY96" s="33" t="s">
        <v>667</v>
      </c>
      <c r="AZ96" s="33" t="s">
        <v>686</v>
      </c>
      <c r="BA96" s="28" t="s">
        <v>692</v>
      </c>
      <c r="BC96" s="32">
        <f>AW96+AX96</f>
        <v>0</v>
      </c>
      <c r="BD96" s="32">
        <f>H96/(100-BE96)*100</f>
        <v>0</v>
      </c>
      <c r="BE96" s="32">
        <v>0</v>
      </c>
      <c r="BF96" s="32">
        <f>94</f>
        <v>94</v>
      </c>
      <c r="BH96" s="17">
        <f>G96*AO96</f>
        <v>0</v>
      </c>
      <c r="BI96" s="17">
        <f>G96*AP96</f>
        <v>0</v>
      </c>
      <c r="BJ96" s="17">
        <f>G96*H96</f>
        <v>0</v>
      </c>
    </row>
    <row r="97" spans="1:62" x14ac:dyDescent="0.2">
      <c r="C97" s="58" t="s">
        <v>358</v>
      </c>
      <c r="D97" s="59"/>
      <c r="E97" s="59"/>
      <c r="G97" s="16">
        <v>61.4</v>
      </c>
    </row>
    <row r="98" spans="1:62" x14ac:dyDescent="0.2">
      <c r="C98" s="58" t="s">
        <v>359</v>
      </c>
      <c r="D98" s="59"/>
      <c r="E98" s="59"/>
      <c r="G98" s="16">
        <v>53.8</v>
      </c>
    </row>
    <row r="99" spans="1:62" x14ac:dyDescent="0.2">
      <c r="C99" s="58" t="s">
        <v>360</v>
      </c>
      <c r="D99" s="59"/>
      <c r="E99" s="59"/>
      <c r="G99" s="16">
        <v>2.5</v>
      </c>
    </row>
    <row r="100" spans="1:62" x14ac:dyDescent="0.2">
      <c r="C100" s="58" t="s">
        <v>361</v>
      </c>
      <c r="D100" s="59"/>
      <c r="E100" s="59"/>
      <c r="G100" s="16">
        <v>5.25</v>
      </c>
    </row>
    <row r="101" spans="1:62" x14ac:dyDescent="0.2">
      <c r="A101" s="6" t="s">
        <v>30</v>
      </c>
      <c r="B101" s="6" t="s">
        <v>157</v>
      </c>
      <c r="C101" s="68" t="s">
        <v>362</v>
      </c>
      <c r="D101" s="69"/>
      <c r="E101" s="69"/>
      <c r="F101" s="6" t="s">
        <v>628</v>
      </c>
      <c r="G101" s="17">
        <v>100.12</v>
      </c>
      <c r="H101" s="17">
        <v>0</v>
      </c>
      <c r="I101" s="17">
        <f>G101*AO101</f>
        <v>0</v>
      </c>
      <c r="J101" s="17">
        <f>G101*AP101</f>
        <v>0</v>
      </c>
      <c r="K101" s="17">
        <f>G101*H101</f>
        <v>0</v>
      </c>
      <c r="L101" s="29" t="s">
        <v>648</v>
      </c>
      <c r="Z101" s="32">
        <f>IF(AQ101="5",BJ101,0)</f>
        <v>0</v>
      </c>
      <c r="AB101" s="32">
        <f>IF(AQ101="1",BH101,0)</f>
        <v>0</v>
      </c>
      <c r="AC101" s="32">
        <f>IF(AQ101="1",BI101,0)</f>
        <v>0</v>
      </c>
      <c r="AD101" s="32">
        <f>IF(AQ101="7",BH101,0)</f>
        <v>0</v>
      </c>
      <c r="AE101" s="32">
        <f>IF(AQ101="7",BI101,0)</f>
        <v>0</v>
      </c>
      <c r="AF101" s="32">
        <f>IF(AQ101="2",BH101,0)</f>
        <v>0</v>
      </c>
      <c r="AG101" s="32">
        <f>IF(AQ101="2",BI101,0)</f>
        <v>0</v>
      </c>
      <c r="AH101" s="32">
        <f>IF(AQ101="0",BJ101,0)</f>
        <v>0</v>
      </c>
      <c r="AI101" s="28"/>
      <c r="AJ101" s="17">
        <f>IF(AN101=0,K101,0)</f>
        <v>0</v>
      </c>
      <c r="AK101" s="17">
        <f>IF(AN101=15,K101,0)</f>
        <v>0</v>
      </c>
      <c r="AL101" s="17">
        <f>IF(AN101=21,K101,0)</f>
        <v>0</v>
      </c>
      <c r="AN101" s="32">
        <v>21</v>
      </c>
      <c r="AO101" s="32">
        <f>H101*1</f>
        <v>0</v>
      </c>
      <c r="AP101" s="32">
        <f>H101*(1-1)</f>
        <v>0</v>
      </c>
      <c r="AQ101" s="29" t="s">
        <v>7</v>
      </c>
      <c r="AV101" s="32">
        <f>AW101+AX101</f>
        <v>0</v>
      </c>
      <c r="AW101" s="32">
        <f>G101*AO101</f>
        <v>0</v>
      </c>
      <c r="AX101" s="32">
        <f>G101*AP101</f>
        <v>0</v>
      </c>
      <c r="AY101" s="33" t="s">
        <v>667</v>
      </c>
      <c r="AZ101" s="33" t="s">
        <v>686</v>
      </c>
      <c r="BA101" s="28" t="s">
        <v>692</v>
      </c>
      <c r="BC101" s="32">
        <f>AW101+AX101</f>
        <v>0</v>
      </c>
      <c r="BD101" s="32">
        <f>H101/(100-BE101)*100</f>
        <v>0</v>
      </c>
      <c r="BE101" s="32">
        <v>0</v>
      </c>
      <c r="BF101" s="32">
        <f>99</f>
        <v>99</v>
      </c>
      <c r="BH101" s="17">
        <f>G101*AO101</f>
        <v>0</v>
      </c>
      <c r="BI101" s="17">
        <f>G101*AP101</f>
        <v>0</v>
      </c>
      <c r="BJ101" s="17">
        <f>G101*H101</f>
        <v>0</v>
      </c>
    </row>
    <row r="102" spans="1:62" x14ac:dyDescent="0.2">
      <c r="C102" s="58" t="s">
        <v>363</v>
      </c>
      <c r="D102" s="59"/>
      <c r="E102" s="59"/>
      <c r="G102" s="16">
        <v>100.12</v>
      </c>
    </row>
    <row r="103" spans="1:62" x14ac:dyDescent="0.2">
      <c r="A103" s="4" t="s">
        <v>31</v>
      </c>
      <c r="B103" s="4" t="s">
        <v>158</v>
      </c>
      <c r="C103" s="56" t="s">
        <v>364</v>
      </c>
      <c r="D103" s="57"/>
      <c r="E103" s="57"/>
      <c r="F103" s="4" t="s">
        <v>628</v>
      </c>
      <c r="G103" s="15">
        <v>147.34</v>
      </c>
      <c r="H103" s="15">
        <v>0</v>
      </c>
      <c r="I103" s="15">
        <f>G103*AO103</f>
        <v>0</v>
      </c>
      <c r="J103" s="15">
        <f>G103*AP103</f>
        <v>0</v>
      </c>
      <c r="K103" s="15">
        <f>G103*H103</f>
        <v>0</v>
      </c>
      <c r="L103" s="27" t="s">
        <v>648</v>
      </c>
      <c r="Z103" s="32">
        <f>IF(AQ103="5",BJ103,0)</f>
        <v>0</v>
      </c>
      <c r="AB103" s="32">
        <f>IF(AQ103="1",BH103,0)</f>
        <v>0</v>
      </c>
      <c r="AC103" s="32">
        <f>IF(AQ103="1",BI103,0)</f>
        <v>0</v>
      </c>
      <c r="AD103" s="32">
        <f>IF(AQ103="7",BH103,0)</f>
        <v>0</v>
      </c>
      <c r="AE103" s="32">
        <f>IF(AQ103="7",BI103,0)</f>
        <v>0</v>
      </c>
      <c r="AF103" s="32">
        <f>IF(AQ103="2",BH103,0)</f>
        <v>0</v>
      </c>
      <c r="AG103" s="32">
        <f>IF(AQ103="2",BI103,0)</f>
        <v>0</v>
      </c>
      <c r="AH103" s="32">
        <f>IF(AQ103="0",BJ103,0)</f>
        <v>0</v>
      </c>
      <c r="AI103" s="28"/>
      <c r="AJ103" s="15">
        <f>IF(AN103=0,K103,0)</f>
        <v>0</v>
      </c>
      <c r="AK103" s="15">
        <f>IF(AN103=15,K103,0)</f>
        <v>0</v>
      </c>
      <c r="AL103" s="15">
        <f>IF(AN103=21,K103,0)</f>
        <v>0</v>
      </c>
      <c r="AN103" s="32">
        <v>21</v>
      </c>
      <c r="AO103" s="32">
        <f>H103*0</f>
        <v>0</v>
      </c>
      <c r="AP103" s="32">
        <f>H103*(1-0)</f>
        <v>0</v>
      </c>
      <c r="AQ103" s="27" t="s">
        <v>7</v>
      </c>
      <c r="AV103" s="32">
        <f>AW103+AX103</f>
        <v>0</v>
      </c>
      <c r="AW103" s="32">
        <f>G103*AO103</f>
        <v>0</v>
      </c>
      <c r="AX103" s="32">
        <f>G103*AP103</f>
        <v>0</v>
      </c>
      <c r="AY103" s="33" t="s">
        <v>667</v>
      </c>
      <c r="AZ103" s="33" t="s">
        <v>686</v>
      </c>
      <c r="BA103" s="28" t="s">
        <v>692</v>
      </c>
      <c r="BC103" s="32">
        <f>AW103+AX103</f>
        <v>0</v>
      </c>
      <c r="BD103" s="32">
        <f>H103/(100-BE103)*100</f>
        <v>0</v>
      </c>
      <c r="BE103" s="32">
        <v>0</v>
      </c>
      <c r="BF103" s="32">
        <f>101</f>
        <v>101</v>
      </c>
      <c r="BH103" s="15">
        <f>G103*AO103</f>
        <v>0</v>
      </c>
      <c r="BI103" s="15">
        <f>G103*AP103</f>
        <v>0</v>
      </c>
      <c r="BJ103" s="15">
        <f>G103*H103</f>
        <v>0</v>
      </c>
    </row>
    <row r="104" spans="1:62" x14ac:dyDescent="0.2">
      <c r="C104" s="58" t="s">
        <v>365</v>
      </c>
      <c r="D104" s="59"/>
      <c r="E104" s="59"/>
      <c r="G104" s="16">
        <v>147.34</v>
      </c>
    </row>
    <row r="105" spans="1:62" x14ac:dyDescent="0.2">
      <c r="A105" s="6" t="s">
        <v>32</v>
      </c>
      <c r="B105" s="6" t="s">
        <v>159</v>
      </c>
      <c r="C105" s="68" t="s">
        <v>366</v>
      </c>
      <c r="D105" s="69"/>
      <c r="E105" s="69"/>
      <c r="F105" s="6" t="s">
        <v>628</v>
      </c>
      <c r="G105" s="17">
        <v>147.34</v>
      </c>
      <c r="H105" s="17">
        <v>0</v>
      </c>
      <c r="I105" s="17">
        <f>G105*AO105</f>
        <v>0</v>
      </c>
      <c r="J105" s="17">
        <f>G105*AP105</f>
        <v>0</v>
      </c>
      <c r="K105" s="17">
        <f>G105*H105</f>
        <v>0</v>
      </c>
      <c r="L105" s="29" t="s">
        <v>648</v>
      </c>
      <c r="Z105" s="32">
        <f>IF(AQ105="5",BJ105,0)</f>
        <v>0</v>
      </c>
      <c r="AB105" s="32">
        <f>IF(AQ105="1",BH105,0)</f>
        <v>0</v>
      </c>
      <c r="AC105" s="32">
        <f>IF(AQ105="1",BI105,0)</f>
        <v>0</v>
      </c>
      <c r="AD105" s="32">
        <f>IF(AQ105="7",BH105,0)</f>
        <v>0</v>
      </c>
      <c r="AE105" s="32">
        <f>IF(AQ105="7",BI105,0)</f>
        <v>0</v>
      </c>
      <c r="AF105" s="32">
        <f>IF(AQ105="2",BH105,0)</f>
        <v>0</v>
      </c>
      <c r="AG105" s="32">
        <f>IF(AQ105="2",BI105,0)</f>
        <v>0</v>
      </c>
      <c r="AH105" s="32">
        <f>IF(AQ105="0",BJ105,0)</f>
        <v>0</v>
      </c>
      <c r="AI105" s="28"/>
      <c r="AJ105" s="17">
        <f>IF(AN105=0,K105,0)</f>
        <v>0</v>
      </c>
      <c r="AK105" s="17">
        <f>IF(AN105=15,K105,0)</f>
        <v>0</v>
      </c>
      <c r="AL105" s="17">
        <f>IF(AN105=21,K105,0)</f>
        <v>0</v>
      </c>
      <c r="AN105" s="32">
        <v>21</v>
      </c>
      <c r="AO105" s="32">
        <f>H105*1</f>
        <v>0</v>
      </c>
      <c r="AP105" s="32">
        <f>H105*(1-1)</f>
        <v>0</v>
      </c>
      <c r="AQ105" s="29" t="s">
        <v>7</v>
      </c>
      <c r="AV105" s="32">
        <f>AW105+AX105</f>
        <v>0</v>
      </c>
      <c r="AW105" s="32">
        <f>G105*AO105</f>
        <v>0</v>
      </c>
      <c r="AX105" s="32">
        <f>G105*AP105</f>
        <v>0</v>
      </c>
      <c r="AY105" s="33" t="s">
        <v>667</v>
      </c>
      <c r="AZ105" s="33" t="s">
        <v>686</v>
      </c>
      <c r="BA105" s="28" t="s">
        <v>692</v>
      </c>
      <c r="BC105" s="32">
        <f>AW105+AX105</f>
        <v>0</v>
      </c>
      <c r="BD105" s="32">
        <f>H105/(100-BE105)*100</f>
        <v>0</v>
      </c>
      <c r="BE105" s="32">
        <v>0</v>
      </c>
      <c r="BF105" s="32">
        <f>103</f>
        <v>103</v>
      </c>
      <c r="BH105" s="17">
        <f>G105*AO105</f>
        <v>0</v>
      </c>
      <c r="BI105" s="17">
        <f>G105*AP105</f>
        <v>0</v>
      </c>
      <c r="BJ105" s="17">
        <f>G105*H105</f>
        <v>0</v>
      </c>
    </row>
    <row r="106" spans="1:62" x14ac:dyDescent="0.2">
      <c r="C106" s="58" t="s">
        <v>367</v>
      </c>
      <c r="D106" s="59"/>
      <c r="E106" s="59"/>
      <c r="G106" s="16">
        <v>35.6</v>
      </c>
    </row>
    <row r="107" spans="1:62" x14ac:dyDescent="0.2">
      <c r="C107" s="58" t="s">
        <v>368</v>
      </c>
      <c r="D107" s="59"/>
      <c r="E107" s="59"/>
      <c r="G107" s="16">
        <v>95.6</v>
      </c>
    </row>
    <row r="108" spans="1:62" x14ac:dyDescent="0.2">
      <c r="C108" s="58" t="s">
        <v>369</v>
      </c>
      <c r="D108" s="59"/>
      <c r="E108" s="59"/>
      <c r="G108" s="16">
        <v>10.4</v>
      </c>
    </row>
    <row r="109" spans="1:62" x14ac:dyDescent="0.2">
      <c r="C109" s="58" t="s">
        <v>370</v>
      </c>
      <c r="D109" s="59"/>
      <c r="E109" s="59"/>
      <c r="G109" s="16">
        <v>5.74</v>
      </c>
    </row>
    <row r="110" spans="1:62" x14ac:dyDescent="0.2">
      <c r="A110" s="4" t="s">
        <v>33</v>
      </c>
      <c r="B110" s="4" t="s">
        <v>160</v>
      </c>
      <c r="C110" s="56" t="s">
        <v>371</v>
      </c>
      <c r="D110" s="57"/>
      <c r="E110" s="57"/>
      <c r="F110" s="4" t="s">
        <v>628</v>
      </c>
      <c r="G110" s="15">
        <v>270.29000000000002</v>
      </c>
      <c r="H110" s="15">
        <v>0</v>
      </c>
      <c r="I110" s="15">
        <f>G110*AO110</f>
        <v>0</v>
      </c>
      <c r="J110" s="15">
        <f>G110*AP110</f>
        <v>0</v>
      </c>
      <c r="K110" s="15">
        <f>G110*H110</f>
        <v>0</v>
      </c>
      <c r="L110" s="27" t="s">
        <v>648</v>
      </c>
      <c r="Z110" s="32">
        <f>IF(AQ110="5",BJ110,0)</f>
        <v>0</v>
      </c>
      <c r="AB110" s="32">
        <f>IF(AQ110="1",BH110,0)</f>
        <v>0</v>
      </c>
      <c r="AC110" s="32">
        <f>IF(AQ110="1",BI110,0)</f>
        <v>0</v>
      </c>
      <c r="AD110" s="32">
        <f>IF(AQ110="7",BH110,0)</f>
        <v>0</v>
      </c>
      <c r="AE110" s="32">
        <f>IF(AQ110="7",BI110,0)</f>
        <v>0</v>
      </c>
      <c r="AF110" s="32">
        <f>IF(AQ110="2",BH110,0)</f>
        <v>0</v>
      </c>
      <c r="AG110" s="32">
        <f>IF(AQ110="2",BI110,0)</f>
        <v>0</v>
      </c>
      <c r="AH110" s="32">
        <f>IF(AQ110="0",BJ110,0)</f>
        <v>0</v>
      </c>
      <c r="AI110" s="28"/>
      <c r="AJ110" s="15">
        <f>IF(AN110=0,K110,0)</f>
        <v>0</v>
      </c>
      <c r="AK110" s="15">
        <f>IF(AN110=15,K110,0)</f>
        <v>0</v>
      </c>
      <c r="AL110" s="15">
        <f>IF(AN110=21,K110,0)</f>
        <v>0</v>
      </c>
      <c r="AN110" s="32">
        <v>21</v>
      </c>
      <c r="AO110" s="32">
        <f>H110*0.42380035378221</f>
        <v>0</v>
      </c>
      <c r="AP110" s="32">
        <f>H110*(1-0.42380035378221)</f>
        <v>0</v>
      </c>
      <c r="AQ110" s="27" t="s">
        <v>7</v>
      </c>
      <c r="AV110" s="32">
        <f>AW110+AX110</f>
        <v>0</v>
      </c>
      <c r="AW110" s="32">
        <f>G110*AO110</f>
        <v>0</v>
      </c>
      <c r="AX110" s="32">
        <f>G110*AP110</f>
        <v>0</v>
      </c>
      <c r="AY110" s="33" t="s">
        <v>667</v>
      </c>
      <c r="AZ110" s="33" t="s">
        <v>686</v>
      </c>
      <c r="BA110" s="28" t="s">
        <v>692</v>
      </c>
      <c r="BC110" s="32">
        <f>AW110+AX110</f>
        <v>0</v>
      </c>
      <c r="BD110" s="32">
        <f>H110/(100-BE110)*100</f>
        <v>0</v>
      </c>
      <c r="BE110" s="32">
        <v>0</v>
      </c>
      <c r="BF110" s="32">
        <f>108</f>
        <v>108</v>
      </c>
      <c r="BH110" s="15">
        <f>G110*AO110</f>
        <v>0</v>
      </c>
      <c r="BI110" s="15">
        <f>G110*AP110</f>
        <v>0</v>
      </c>
      <c r="BJ110" s="15">
        <f>G110*H110</f>
        <v>0</v>
      </c>
    </row>
    <row r="111" spans="1:62" x14ac:dyDescent="0.2">
      <c r="C111" s="58" t="s">
        <v>372</v>
      </c>
      <c r="D111" s="59"/>
      <c r="E111" s="59"/>
      <c r="G111" s="16">
        <v>122.95</v>
      </c>
    </row>
    <row r="112" spans="1:62" x14ac:dyDescent="0.2">
      <c r="C112" s="58" t="s">
        <v>365</v>
      </c>
      <c r="D112" s="59"/>
      <c r="E112" s="59"/>
      <c r="G112" s="16">
        <v>147.34</v>
      </c>
    </row>
    <row r="113" spans="1:62" x14ac:dyDescent="0.2">
      <c r="A113" s="4" t="s">
        <v>34</v>
      </c>
      <c r="B113" s="4" t="s">
        <v>161</v>
      </c>
      <c r="C113" s="56" t="s">
        <v>373</v>
      </c>
      <c r="D113" s="57"/>
      <c r="E113" s="57"/>
      <c r="F113" s="4" t="s">
        <v>625</v>
      </c>
      <c r="G113" s="15">
        <v>1156.357</v>
      </c>
      <c r="H113" s="15">
        <v>0</v>
      </c>
      <c r="I113" s="15">
        <f>G113*AO113</f>
        <v>0</v>
      </c>
      <c r="J113" s="15">
        <f>G113*AP113</f>
        <v>0</v>
      </c>
      <c r="K113" s="15">
        <f>G113*H113</f>
        <v>0</v>
      </c>
      <c r="L113" s="27" t="s">
        <v>648</v>
      </c>
      <c r="Z113" s="32">
        <f>IF(AQ113="5",BJ113,0)</f>
        <v>0</v>
      </c>
      <c r="AB113" s="32">
        <f>IF(AQ113="1",BH113,0)</f>
        <v>0</v>
      </c>
      <c r="AC113" s="32">
        <f>IF(AQ113="1",BI113,0)</f>
        <v>0</v>
      </c>
      <c r="AD113" s="32">
        <f>IF(AQ113="7",BH113,0)</f>
        <v>0</v>
      </c>
      <c r="AE113" s="32">
        <f>IF(AQ113="7",BI113,0)</f>
        <v>0</v>
      </c>
      <c r="AF113" s="32">
        <f>IF(AQ113="2",BH113,0)</f>
        <v>0</v>
      </c>
      <c r="AG113" s="32">
        <f>IF(AQ113="2",BI113,0)</f>
        <v>0</v>
      </c>
      <c r="AH113" s="32">
        <f>IF(AQ113="0",BJ113,0)</f>
        <v>0</v>
      </c>
      <c r="AI113" s="28"/>
      <c r="AJ113" s="15">
        <f>IF(AN113=0,K113,0)</f>
        <v>0</v>
      </c>
      <c r="AK113" s="15">
        <f>IF(AN113=15,K113,0)</f>
        <v>0</v>
      </c>
      <c r="AL113" s="15">
        <f>IF(AN113=21,K113,0)</f>
        <v>0</v>
      </c>
      <c r="AN113" s="32">
        <v>21</v>
      </c>
      <c r="AO113" s="32">
        <f>H113*0.0678321682423792</f>
        <v>0</v>
      </c>
      <c r="AP113" s="32">
        <f>H113*(1-0.0678321682423792)</f>
        <v>0</v>
      </c>
      <c r="AQ113" s="27" t="s">
        <v>7</v>
      </c>
      <c r="AV113" s="32">
        <f>AW113+AX113</f>
        <v>0</v>
      </c>
      <c r="AW113" s="32">
        <f>G113*AO113</f>
        <v>0</v>
      </c>
      <c r="AX113" s="32">
        <f>G113*AP113</f>
        <v>0</v>
      </c>
      <c r="AY113" s="33" t="s">
        <v>667</v>
      </c>
      <c r="AZ113" s="33" t="s">
        <v>686</v>
      </c>
      <c r="BA113" s="28" t="s">
        <v>692</v>
      </c>
      <c r="BC113" s="32">
        <f>AW113+AX113</f>
        <v>0</v>
      </c>
      <c r="BD113" s="32">
        <f>H113/(100-BE113)*100</f>
        <v>0</v>
      </c>
      <c r="BE113" s="32">
        <v>0</v>
      </c>
      <c r="BF113" s="32">
        <f>111</f>
        <v>111</v>
      </c>
      <c r="BH113" s="15">
        <f>G113*AO113</f>
        <v>0</v>
      </c>
      <c r="BI113" s="15">
        <f>G113*AP113</f>
        <v>0</v>
      </c>
      <c r="BJ113" s="15">
        <f>G113*H113</f>
        <v>0</v>
      </c>
    </row>
    <row r="114" spans="1:62" x14ac:dyDescent="0.2">
      <c r="C114" s="58" t="s">
        <v>374</v>
      </c>
      <c r="D114" s="59"/>
      <c r="E114" s="59"/>
      <c r="G114" s="16">
        <v>75</v>
      </c>
    </row>
    <row r="115" spans="1:62" x14ac:dyDescent="0.2">
      <c r="C115" s="58" t="s">
        <v>375</v>
      </c>
      <c r="D115" s="59"/>
      <c r="E115" s="59"/>
      <c r="G115" s="16">
        <v>157.5</v>
      </c>
    </row>
    <row r="116" spans="1:62" x14ac:dyDescent="0.2">
      <c r="C116" s="58" t="s">
        <v>376</v>
      </c>
      <c r="D116" s="59"/>
      <c r="E116" s="59"/>
      <c r="G116" s="16">
        <v>838.18</v>
      </c>
    </row>
    <row r="117" spans="1:62" x14ac:dyDescent="0.2">
      <c r="C117" s="58" t="s">
        <v>377</v>
      </c>
      <c r="D117" s="59"/>
      <c r="E117" s="59"/>
      <c r="G117" s="16">
        <v>85.677000000000007</v>
      </c>
    </row>
    <row r="118" spans="1:62" x14ac:dyDescent="0.2">
      <c r="A118" s="4" t="s">
        <v>35</v>
      </c>
      <c r="B118" s="4" t="s">
        <v>162</v>
      </c>
      <c r="C118" s="56" t="s">
        <v>378</v>
      </c>
      <c r="D118" s="57"/>
      <c r="E118" s="57"/>
      <c r="F118" s="4" t="s">
        <v>628</v>
      </c>
      <c r="G118" s="15">
        <v>170.8</v>
      </c>
      <c r="H118" s="15">
        <v>0</v>
      </c>
      <c r="I118" s="15">
        <f>G118*AO118</f>
        <v>0</v>
      </c>
      <c r="J118" s="15">
        <f>G118*AP118</f>
        <v>0</v>
      </c>
      <c r="K118" s="15">
        <f>G118*H118</f>
        <v>0</v>
      </c>
      <c r="L118" s="27" t="s">
        <v>648</v>
      </c>
      <c r="Z118" s="32">
        <f>IF(AQ118="5",BJ118,0)</f>
        <v>0</v>
      </c>
      <c r="AB118" s="32">
        <f>IF(AQ118="1",BH118,0)</f>
        <v>0</v>
      </c>
      <c r="AC118" s="32">
        <f>IF(AQ118="1",BI118,0)</f>
        <v>0</v>
      </c>
      <c r="AD118" s="32">
        <f>IF(AQ118="7",BH118,0)</f>
        <v>0</v>
      </c>
      <c r="AE118" s="32">
        <f>IF(AQ118="7",BI118,0)</f>
        <v>0</v>
      </c>
      <c r="AF118" s="32">
        <f>IF(AQ118="2",BH118,0)</f>
        <v>0</v>
      </c>
      <c r="AG118" s="32">
        <f>IF(AQ118="2",BI118,0)</f>
        <v>0</v>
      </c>
      <c r="AH118" s="32">
        <f>IF(AQ118="0",BJ118,0)</f>
        <v>0</v>
      </c>
      <c r="AI118" s="28"/>
      <c r="AJ118" s="15">
        <f>IF(AN118=0,K118,0)</f>
        <v>0</v>
      </c>
      <c r="AK118" s="15">
        <f>IF(AN118=15,K118,0)</f>
        <v>0</v>
      </c>
      <c r="AL118" s="15">
        <f>IF(AN118=21,K118,0)</f>
        <v>0</v>
      </c>
      <c r="AN118" s="32">
        <v>21</v>
      </c>
      <c r="AO118" s="32">
        <f>H118*0.1</f>
        <v>0</v>
      </c>
      <c r="AP118" s="32">
        <f>H118*(1-0.1)</f>
        <v>0</v>
      </c>
      <c r="AQ118" s="27" t="s">
        <v>7</v>
      </c>
      <c r="AV118" s="32">
        <f>AW118+AX118</f>
        <v>0</v>
      </c>
      <c r="AW118" s="32">
        <f>G118*AO118</f>
        <v>0</v>
      </c>
      <c r="AX118" s="32">
        <f>G118*AP118</f>
        <v>0</v>
      </c>
      <c r="AY118" s="33" t="s">
        <v>667</v>
      </c>
      <c r="AZ118" s="33" t="s">
        <v>686</v>
      </c>
      <c r="BA118" s="28" t="s">
        <v>692</v>
      </c>
      <c r="BC118" s="32">
        <f>AW118+AX118</f>
        <v>0</v>
      </c>
      <c r="BD118" s="32">
        <f>H118/(100-BE118)*100</f>
        <v>0</v>
      </c>
      <c r="BE118" s="32">
        <v>0</v>
      </c>
      <c r="BF118" s="32">
        <f>116</f>
        <v>116</v>
      </c>
      <c r="BH118" s="15">
        <f>G118*AO118</f>
        <v>0</v>
      </c>
      <c r="BI118" s="15">
        <f>G118*AP118</f>
        <v>0</v>
      </c>
      <c r="BJ118" s="15">
        <f>G118*H118</f>
        <v>0</v>
      </c>
    </row>
    <row r="119" spans="1:62" x14ac:dyDescent="0.2">
      <c r="C119" s="58" t="s">
        <v>379</v>
      </c>
      <c r="D119" s="59"/>
      <c r="E119" s="59"/>
      <c r="G119" s="16">
        <v>170.8</v>
      </c>
    </row>
    <row r="120" spans="1:62" x14ac:dyDescent="0.2">
      <c r="A120" s="4" t="s">
        <v>36</v>
      </c>
      <c r="B120" s="4" t="s">
        <v>163</v>
      </c>
      <c r="C120" s="56" t="s">
        <v>380</v>
      </c>
      <c r="D120" s="57"/>
      <c r="E120" s="57"/>
      <c r="F120" s="4" t="s">
        <v>625</v>
      </c>
      <c r="G120" s="15">
        <v>1156.357</v>
      </c>
      <c r="H120" s="15">
        <v>0</v>
      </c>
      <c r="I120" s="15">
        <f>G120*AO120</f>
        <v>0</v>
      </c>
      <c r="J120" s="15">
        <f>G120*AP120</f>
        <v>0</v>
      </c>
      <c r="K120" s="15">
        <f>G120*H120</f>
        <v>0</v>
      </c>
      <c r="L120" s="27" t="s">
        <v>648</v>
      </c>
      <c r="Z120" s="32">
        <f>IF(AQ120="5",BJ120,0)</f>
        <v>0</v>
      </c>
      <c r="AB120" s="32">
        <f>IF(AQ120="1",BH120,0)</f>
        <v>0</v>
      </c>
      <c r="AC120" s="32">
        <f>IF(AQ120="1",BI120,0)</f>
        <v>0</v>
      </c>
      <c r="AD120" s="32">
        <f>IF(AQ120="7",BH120,0)</f>
        <v>0</v>
      </c>
      <c r="AE120" s="32">
        <f>IF(AQ120="7",BI120,0)</f>
        <v>0</v>
      </c>
      <c r="AF120" s="32">
        <f>IF(AQ120="2",BH120,0)</f>
        <v>0</v>
      </c>
      <c r="AG120" s="32">
        <f>IF(AQ120="2",BI120,0)</f>
        <v>0</v>
      </c>
      <c r="AH120" s="32">
        <f>IF(AQ120="0",BJ120,0)</f>
        <v>0</v>
      </c>
      <c r="AI120" s="28"/>
      <c r="AJ120" s="15">
        <f>IF(AN120=0,K120,0)</f>
        <v>0</v>
      </c>
      <c r="AK120" s="15">
        <f>IF(AN120=15,K120,0)</f>
        <v>0</v>
      </c>
      <c r="AL120" s="15">
        <f>IF(AN120=21,K120,0)</f>
        <v>0</v>
      </c>
      <c r="AN120" s="32">
        <v>21</v>
      </c>
      <c r="AO120" s="32">
        <f>H120*0.508077006913785</f>
        <v>0</v>
      </c>
      <c r="AP120" s="32">
        <f>H120*(1-0.508077006913785)</f>
        <v>0</v>
      </c>
      <c r="AQ120" s="27" t="s">
        <v>7</v>
      </c>
      <c r="AV120" s="32">
        <f>AW120+AX120</f>
        <v>0</v>
      </c>
      <c r="AW120" s="32">
        <f>G120*AO120</f>
        <v>0</v>
      </c>
      <c r="AX120" s="32">
        <f>G120*AP120</f>
        <v>0</v>
      </c>
      <c r="AY120" s="33" t="s">
        <v>667</v>
      </c>
      <c r="AZ120" s="33" t="s">
        <v>686</v>
      </c>
      <c r="BA120" s="28" t="s">
        <v>692</v>
      </c>
      <c r="BC120" s="32">
        <f>AW120+AX120</f>
        <v>0</v>
      </c>
      <c r="BD120" s="32">
        <f>H120/(100-BE120)*100</f>
        <v>0</v>
      </c>
      <c r="BE120" s="32">
        <v>0</v>
      </c>
      <c r="BF120" s="32">
        <f>118</f>
        <v>118</v>
      </c>
      <c r="BH120" s="15">
        <f>G120*AO120</f>
        <v>0</v>
      </c>
      <c r="BI120" s="15">
        <f>G120*AP120</f>
        <v>0</v>
      </c>
      <c r="BJ120" s="15">
        <f>G120*H120</f>
        <v>0</v>
      </c>
    </row>
    <row r="121" spans="1:62" x14ac:dyDescent="0.2">
      <c r="C121" s="58" t="s">
        <v>381</v>
      </c>
      <c r="D121" s="59"/>
      <c r="E121" s="59"/>
      <c r="G121" s="16">
        <v>1156.357</v>
      </c>
    </row>
    <row r="122" spans="1:62" x14ac:dyDescent="0.2">
      <c r="A122" s="4" t="s">
        <v>37</v>
      </c>
      <c r="B122" s="4" t="s">
        <v>164</v>
      </c>
      <c r="C122" s="56" t="s">
        <v>382</v>
      </c>
      <c r="D122" s="57"/>
      <c r="E122" s="57"/>
      <c r="F122" s="4" t="s">
        <v>628</v>
      </c>
      <c r="G122" s="15">
        <v>150</v>
      </c>
      <c r="H122" s="15">
        <v>0</v>
      </c>
      <c r="I122" s="15">
        <f>G122*AO122</f>
        <v>0</v>
      </c>
      <c r="J122" s="15">
        <f>G122*AP122</f>
        <v>0</v>
      </c>
      <c r="K122" s="15">
        <f>G122*H122</f>
        <v>0</v>
      </c>
      <c r="L122" s="27" t="s">
        <v>648</v>
      </c>
      <c r="Z122" s="32">
        <f>IF(AQ122="5",BJ122,0)</f>
        <v>0</v>
      </c>
      <c r="AB122" s="32">
        <f>IF(AQ122="1",BH122,0)</f>
        <v>0</v>
      </c>
      <c r="AC122" s="32">
        <f>IF(AQ122="1",BI122,0)</f>
        <v>0</v>
      </c>
      <c r="AD122" s="32">
        <f>IF(AQ122="7",BH122,0)</f>
        <v>0</v>
      </c>
      <c r="AE122" s="32">
        <f>IF(AQ122="7",BI122,0)</f>
        <v>0</v>
      </c>
      <c r="AF122" s="32">
        <f>IF(AQ122="2",BH122,0)</f>
        <v>0</v>
      </c>
      <c r="AG122" s="32">
        <f>IF(AQ122="2",BI122,0)</f>
        <v>0</v>
      </c>
      <c r="AH122" s="32">
        <f>IF(AQ122="0",BJ122,0)</f>
        <v>0</v>
      </c>
      <c r="AI122" s="28"/>
      <c r="AJ122" s="15">
        <f>IF(AN122=0,K122,0)</f>
        <v>0</v>
      </c>
      <c r="AK122" s="15">
        <f>IF(AN122=15,K122,0)</f>
        <v>0</v>
      </c>
      <c r="AL122" s="15">
        <f>IF(AN122=21,K122,0)</f>
        <v>0</v>
      </c>
      <c r="AN122" s="32">
        <v>21</v>
      </c>
      <c r="AO122" s="32">
        <f>H122*0.554363212932097</f>
        <v>0</v>
      </c>
      <c r="AP122" s="32">
        <f>H122*(1-0.554363212932097)</f>
        <v>0</v>
      </c>
      <c r="AQ122" s="27" t="s">
        <v>7</v>
      </c>
      <c r="AV122" s="32">
        <f>AW122+AX122</f>
        <v>0</v>
      </c>
      <c r="AW122" s="32">
        <f>G122*AO122</f>
        <v>0</v>
      </c>
      <c r="AX122" s="32">
        <f>G122*AP122</f>
        <v>0</v>
      </c>
      <c r="AY122" s="33" t="s">
        <v>667</v>
      </c>
      <c r="AZ122" s="33" t="s">
        <v>686</v>
      </c>
      <c r="BA122" s="28" t="s">
        <v>692</v>
      </c>
      <c r="BC122" s="32">
        <f>AW122+AX122</f>
        <v>0</v>
      </c>
      <c r="BD122" s="32">
        <f>H122/(100-BE122)*100</f>
        <v>0</v>
      </c>
      <c r="BE122" s="32">
        <v>0</v>
      </c>
      <c r="BF122" s="32">
        <f>120</f>
        <v>120</v>
      </c>
      <c r="BH122" s="15">
        <f>G122*AO122</f>
        <v>0</v>
      </c>
      <c r="BI122" s="15">
        <f>G122*AP122</f>
        <v>0</v>
      </c>
      <c r="BJ122" s="15">
        <f>G122*H122</f>
        <v>0</v>
      </c>
    </row>
    <row r="123" spans="1:62" x14ac:dyDescent="0.2">
      <c r="C123" s="58" t="s">
        <v>383</v>
      </c>
      <c r="D123" s="59"/>
      <c r="E123" s="59"/>
      <c r="G123" s="16">
        <v>150</v>
      </c>
    </row>
    <row r="124" spans="1:62" x14ac:dyDescent="0.2">
      <c r="A124" s="5"/>
      <c r="B124" s="13" t="s">
        <v>70</v>
      </c>
      <c r="C124" s="66" t="s">
        <v>384</v>
      </c>
      <c r="D124" s="67"/>
      <c r="E124" s="67"/>
      <c r="F124" s="5" t="s">
        <v>6</v>
      </c>
      <c r="G124" s="5" t="s">
        <v>6</v>
      </c>
      <c r="H124" s="5" t="s">
        <v>6</v>
      </c>
      <c r="I124" s="35">
        <f>SUM(I125:I125)</f>
        <v>0</v>
      </c>
      <c r="J124" s="35">
        <f>SUM(J125:J125)</f>
        <v>0</v>
      </c>
      <c r="K124" s="35">
        <f>SUM(K125:K125)</f>
        <v>0</v>
      </c>
      <c r="L124" s="28"/>
      <c r="AI124" s="28"/>
      <c r="AS124" s="35">
        <f>SUM(AJ125:AJ125)</f>
        <v>0</v>
      </c>
      <c r="AT124" s="35">
        <f>SUM(AK125:AK125)</f>
        <v>0</v>
      </c>
      <c r="AU124" s="35">
        <f>SUM(AL125:AL125)</f>
        <v>0</v>
      </c>
    </row>
    <row r="125" spans="1:62" x14ac:dyDescent="0.2">
      <c r="A125" s="4" t="s">
        <v>38</v>
      </c>
      <c r="B125" s="4" t="s">
        <v>165</v>
      </c>
      <c r="C125" s="56" t="s">
        <v>385</v>
      </c>
      <c r="D125" s="57"/>
      <c r="E125" s="57"/>
      <c r="F125" s="4" t="s">
        <v>628</v>
      </c>
      <c r="G125" s="15">
        <v>105.126</v>
      </c>
      <c r="H125" s="15">
        <v>0</v>
      </c>
      <c r="I125" s="15">
        <f>G125*AO125</f>
        <v>0</v>
      </c>
      <c r="J125" s="15">
        <f>G125*AP125</f>
        <v>0</v>
      </c>
      <c r="K125" s="15">
        <f>G125*H125</f>
        <v>0</v>
      </c>
      <c r="L125" s="27" t="s">
        <v>648</v>
      </c>
      <c r="Z125" s="32">
        <f>IF(AQ125="5",BJ125,0)</f>
        <v>0</v>
      </c>
      <c r="AB125" s="32">
        <f>IF(AQ125="1",BH125,0)</f>
        <v>0</v>
      </c>
      <c r="AC125" s="32">
        <f>IF(AQ125="1",BI125,0)</f>
        <v>0</v>
      </c>
      <c r="AD125" s="32">
        <f>IF(AQ125="7",BH125,0)</f>
        <v>0</v>
      </c>
      <c r="AE125" s="32">
        <f>IF(AQ125="7",BI125,0)</f>
        <v>0</v>
      </c>
      <c r="AF125" s="32">
        <f>IF(AQ125="2",BH125,0)</f>
        <v>0</v>
      </c>
      <c r="AG125" s="32">
        <f>IF(AQ125="2",BI125,0)</f>
        <v>0</v>
      </c>
      <c r="AH125" s="32">
        <f>IF(AQ125="0",BJ125,0)</f>
        <v>0</v>
      </c>
      <c r="AI125" s="28"/>
      <c r="AJ125" s="15">
        <f>IF(AN125=0,K125,0)</f>
        <v>0</v>
      </c>
      <c r="AK125" s="15">
        <f>IF(AN125=15,K125,0)</f>
        <v>0</v>
      </c>
      <c r="AL125" s="15">
        <f>IF(AN125=21,K125,0)</f>
        <v>0</v>
      </c>
      <c r="AN125" s="32">
        <v>21</v>
      </c>
      <c r="AO125" s="32">
        <f>H125*0.663094197988109</f>
        <v>0</v>
      </c>
      <c r="AP125" s="32">
        <f>H125*(1-0.663094197988109)</f>
        <v>0</v>
      </c>
      <c r="AQ125" s="27" t="s">
        <v>7</v>
      </c>
      <c r="AV125" s="32">
        <f>AW125+AX125</f>
        <v>0</v>
      </c>
      <c r="AW125" s="32">
        <f>G125*AO125</f>
        <v>0</v>
      </c>
      <c r="AX125" s="32">
        <f>G125*AP125</f>
        <v>0</v>
      </c>
      <c r="AY125" s="33" t="s">
        <v>668</v>
      </c>
      <c r="AZ125" s="33" t="s">
        <v>686</v>
      </c>
      <c r="BA125" s="28" t="s">
        <v>692</v>
      </c>
      <c r="BC125" s="32">
        <f>AW125+AX125</f>
        <v>0</v>
      </c>
      <c r="BD125" s="32">
        <f>H125/(100-BE125)*100</f>
        <v>0</v>
      </c>
      <c r="BE125" s="32">
        <v>0</v>
      </c>
      <c r="BF125" s="32">
        <f>123</f>
        <v>123</v>
      </c>
      <c r="BH125" s="15">
        <f>G125*AO125</f>
        <v>0</v>
      </c>
      <c r="BI125" s="15">
        <f>G125*AP125</f>
        <v>0</v>
      </c>
      <c r="BJ125" s="15">
        <f>G125*H125</f>
        <v>0</v>
      </c>
    </row>
    <row r="126" spans="1:62" x14ac:dyDescent="0.2">
      <c r="C126" s="58" t="s">
        <v>386</v>
      </c>
      <c r="D126" s="59"/>
      <c r="E126" s="59"/>
      <c r="G126" s="16">
        <v>100.12</v>
      </c>
    </row>
    <row r="127" spans="1:62" x14ac:dyDescent="0.2">
      <c r="C127" s="58" t="s">
        <v>387</v>
      </c>
      <c r="D127" s="59"/>
      <c r="E127" s="59"/>
      <c r="G127" s="16">
        <v>5.0060000000000002</v>
      </c>
    </row>
    <row r="128" spans="1:62" x14ac:dyDescent="0.2">
      <c r="A128" s="5"/>
      <c r="B128" s="13" t="s">
        <v>166</v>
      </c>
      <c r="C128" s="66" t="s">
        <v>388</v>
      </c>
      <c r="D128" s="67"/>
      <c r="E128" s="67"/>
      <c r="F128" s="5" t="s">
        <v>6</v>
      </c>
      <c r="G128" s="5" t="s">
        <v>6</v>
      </c>
      <c r="H128" s="5" t="s">
        <v>6</v>
      </c>
      <c r="I128" s="35">
        <f>SUM(I129:I158)</f>
        <v>0</v>
      </c>
      <c r="J128" s="35">
        <f>SUM(J129:J158)</f>
        <v>0</v>
      </c>
      <c r="K128" s="35">
        <f>SUM(K129:K158)</f>
        <v>0</v>
      </c>
      <c r="L128" s="28"/>
      <c r="AI128" s="28"/>
      <c r="AS128" s="35">
        <f>SUM(AJ129:AJ158)</f>
        <v>0</v>
      </c>
      <c r="AT128" s="35">
        <f>SUM(AK129:AK158)</f>
        <v>0</v>
      </c>
      <c r="AU128" s="35">
        <f>SUM(AL129:AL158)</f>
        <v>0</v>
      </c>
    </row>
    <row r="129" spans="1:62" x14ac:dyDescent="0.2">
      <c r="A129" s="4" t="s">
        <v>39</v>
      </c>
      <c r="B129" s="4" t="s">
        <v>167</v>
      </c>
      <c r="C129" s="56" t="s">
        <v>389</v>
      </c>
      <c r="D129" s="57"/>
      <c r="E129" s="57"/>
      <c r="F129" s="4" t="s">
        <v>625</v>
      </c>
      <c r="G129" s="15">
        <v>1208.75</v>
      </c>
      <c r="H129" s="15">
        <v>0</v>
      </c>
      <c r="I129" s="15">
        <f>G129*AO129</f>
        <v>0</v>
      </c>
      <c r="J129" s="15">
        <f>G129*AP129</f>
        <v>0</v>
      </c>
      <c r="K129" s="15">
        <f>G129*H129</f>
        <v>0</v>
      </c>
      <c r="L129" s="27" t="s">
        <v>648</v>
      </c>
      <c r="Z129" s="32">
        <f>IF(AQ129="5",BJ129,0)</f>
        <v>0</v>
      </c>
      <c r="AB129" s="32">
        <f>IF(AQ129="1",BH129,0)</f>
        <v>0</v>
      </c>
      <c r="AC129" s="32">
        <f>IF(AQ129="1",BI129,0)</f>
        <v>0</v>
      </c>
      <c r="AD129" s="32">
        <f>IF(AQ129="7",BH129,0)</f>
        <v>0</v>
      </c>
      <c r="AE129" s="32">
        <f>IF(AQ129="7",BI129,0)</f>
        <v>0</v>
      </c>
      <c r="AF129" s="32">
        <f>IF(AQ129="2",BH129,0)</f>
        <v>0</v>
      </c>
      <c r="AG129" s="32">
        <f>IF(AQ129="2",BI129,0)</f>
        <v>0</v>
      </c>
      <c r="AH129" s="32">
        <f>IF(AQ129="0",BJ129,0)</f>
        <v>0</v>
      </c>
      <c r="AI129" s="28"/>
      <c r="AJ129" s="15">
        <f>IF(AN129=0,K129,0)</f>
        <v>0</v>
      </c>
      <c r="AK129" s="15">
        <f>IF(AN129=15,K129,0)</f>
        <v>0</v>
      </c>
      <c r="AL129" s="15">
        <f>IF(AN129=21,K129,0)</f>
        <v>0</v>
      </c>
      <c r="AN129" s="32">
        <v>21</v>
      </c>
      <c r="AO129" s="32">
        <f>H129*0</f>
        <v>0</v>
      </c>
      <c r="AP129" s="32">
        <f>H129*(1-0)</f>
        <v>0</v>
      </c>
      <c r="AQ129" s="27" t="s">
        <v>13</v>
      </c>
      <c r="AV129" s="32">
        <f>AW129+AX129</f>
        <v>0</v>
      </c>
      <c r="AW129" s="32">
        <f>G129*AO129</f>
        <v>0</v>
      </c>
      <c r="AX129" s="32">
        <f>G129*AP129</f>
        <v>0</v>
      </c>
      <c r="AY129" s="33" t="s">
        <v>669</v>
      </c>
      <c r="AZ129" s="33" t="s">
        <v>687</v>
      </c>
      <c r="BA129" s="28" t="s">
        <v>692</v>
      </c>
      <c r="BC129" s="32">
        <f>AW129+AX129</f>
        <v>0</v>
      </c>
      <c r="BD129" s="32">
        <f>H129/(100-BE129)*100</f>
        <v>0</v>
      </c>
      <c r="BE129" s="32">
        <v>0</v>
      </c>
      <c r="BF129" s="32">
        <f>127</f>
        <v>127</v>
      </c>
      <c r="BH129" s="15">
        <f>G129*AO129</f>
        <v>0</v>
      </c>
      <c r="BI129" s="15">
        <f>G129*AP129</f>
        <v>0</v>
      </c>
      <c r="BJ129" s="15">
        <f>G129*H129</f>
        <v>0</v>
      </c>
    </row>
    <row r="130" spans="1:62" x14ac:dyDescent="0.2">
      <c r="C130" s="58" t="s">
        <v>390</v>
      </c>
      <c r="D130" s="59"/>
      <c r="E130" s="59"/>
      <c r="G130" s="16">
        <v>1089</v>
      </c>
    </row>
    <row r="131" spans="1:62" x14ac:dyDescent="0.2">
      <c r="C131" s="58" t="s">
        <v>391</v>
      </c>
      <c r="D131" s="59"/>
      <c r="E131" s="59"/>
      <c r="G131" s="16">
        <v>119.75</v>
      </c>
    </row>
    <row r="132" spans="1:62" x14ac:dyDescent="0.2">
      <c r="A132" s="4" t="s">
        <v>40</v>
      </c>
      <c r="B132" s="4" t="s">
        <v>168</v>
      </c>
      <c r="C132" s="56" t="s">
        <v>392</v>
      </c>
      <c r="D132" s="57"/>
      <c r="E132" s="57"/>
      <c r="F132" s="4" t="s">
        <v>625</v>
      </c>
      <c r="G132" s="15">
        <v>1210</v>
      </c>
      <c r="H132" s="15">
        <v>0</v>
      </c>
      <c r="I132" s="15">
        <f>G132*AO132</f>
        <v>0</v>
      </c>
      <c r="J132" s="15">
        <f>G132*AP132</f>
        <v>0</v>
      </c>
      <c r="K132" s="15">
        <f>G132*H132</f>
        <v>0</v>
      </c>
      <c r="L132" s="27" t="s">
        <v>648</v>
      </c>
      <c r="Z132" s="32">
        <f>IF(AQ132="5",BJ132,0)</f>
        <v>0</v>
      </c>
      <c r="AB132" s="32">
        <f>IF(AQ132="1",BH132,0)</f>
        <v>0</v>
      </c>
      <c r="AC132" s="32">
        <f>IF(AQ132="1",BI132,0)</f>
        <v>0</v>
      </c>
      <c r="AD132" s="32">
        <f>IF(AQ132="7",BH132,0)</f>
        <v>0</v>
      </c>
      <c r="AE132" s="32">
        <f>IF(AQ132="7",BI132,0)</f>
        <v>0</v>
      </c>
      <c r="AF132" s="32">
        <f>IF(AQ132="2",BH132,0)</f>
        <v>0</v>
      </c>
      <c r="AG132" s="32">
        <f>IF(AQ132="2",BI132,0)</f>
        <v>0</v>
      </c>
      <c r="AH132" s="32">
        <f>IF(AQ132="0",BJ132,0)</f>
        <v>0</v>
      </c>
      <c r="AI132" s="28"/>
      <c r="AJ132" s="15">
        <f>IF(AN132=0,K132,0)</f>
        <v>0</v>
      </c>
      <c r="AK132" s="15">
        <f>IF(AN132=15,K132,0)</f>
        <v>0</v>
      </c>
      <c r="AL132" s="15">
        <f>IF(AN132=21,K132,0)</f>
        <v>0</v>
      </c>
      <c r="AN132" s="32">
        <v>21</v>
      </c>
      <c r="AO132" s="32">
        <f>H132*0</f>
        <v>0</v>
      </c>
      <c r="AP132" s="32">
        <f>H132*(1-0)</f>
        <v>0</v>
      </c>
      <c r="AQ132" s="27" t="s">
        <v>13</v>
      </c>
      <c r="AV132" s="32">
        <f>AW132+AX132</f>
        <v>0</v>
      </c>
      <c r="AW132" s="32">
        <f>G132*AO132</f>
        <v>0</v>
      </c>
      <c r="AX132" s="32">
        <f>G132*AP132</f>
        <v>0</v>
      </c>
      <c r="AY132" s="33" t="s">
        <v>669</v>
      </c>
      <c r="AZ132" s="33" t="s">
        <v>687</v>
      </c>
      <c r="BA132" s="28" t="s">
        <v>692</v>
      </c>
      <c r="BC132" s="32">
        <f>AW132+AX132</f>
        <v>0</v>
      </c>
      <c r="BD132" s="32">
        <f>H132/(100-BE132)*100</f>
        <v>0</v>
      </c>
      <c r="BE132" s="32">
        <v>0</v>
      </c>
      <c r="BF132" s="32">
        <f>130</f>
        <v>130</v>
      </c>
      <c r="BH132" s="15">
        <f>G132*AO132</f>
        <v>0</v>
      </c>
      <c r="BI132" s="15">
        <f>G132*AP132</f>
        <v>0</v>
      </c>
      <c r="BJ132" s="15">
        <f>G132*H132</f>
        <v>0</v>
      </c>
    </row>
    <row r="133" spans="1:62" x14ac:dyDescent="0.2">
      <c r="C133" s="58" t="s">
        <v>393</v>
      </c>
      <c r="D133" s="59"/>
      <c r="E133" s="59"/>
      <c r="G133" s="16">
        <v>1210</v>
      </c>
    </row>
    <row r="134" spans="1:62" x14ac:dyDescent="0.2">
      <c r="A134" s="4" t="s">
        <v>41</v>
      </c>
      <c r="B134" s="4" t="s">
        <v>169</v>
      </c>
      <c r="C134" s="56" t="s">
        <v>740</v>
      </c>
      <c r="D134" s="57"/>
      <c r="E134" s="57"/>
      <c r="F134" s="4" t="s">
        <v>628</v>
      </c>
      <c r="G134" s="15">
        <v>190</v>
      </c>
      <c r="H134" s="15">
        <v>0</v>
      </c>
      <c r="I134" s="15">
        <f>G134*AO134</f>
        <v>0</v>
      </c>
      <c r="J134" s="15">
        <f>G134*AP134</f>
        <v>0</v>
      </c>
      <c r="K134" s="15">
        <f>G134*H134</f>
        <v>0</v>
      </c>
      <c r="L134" s="27" t="s">
        <v>648</v>
      </c>
      <c r="Z134" s="32">
        <f>IF(AQ134="5",BJ134,0)</f>
        <v>0</v>
      </c>
      <c r="AB134" s="32">
        <f>IF(AQ134="1",BH134,0)</f>
        <v>0</v>
      </c>
      <c r="AC134" s="32">
        <f>IF(AQ134="1",BI134,0)</f>
        <v>0</v>
      </c>
      <c r="AD134" s="32">
        <f>IF(AQ134="7",BH134,0)</f>
        <v>0</v>
      </c>
      <c r="AE134" s="32">
        <f>IF(AQ134="7",BI134,0)</f>
        <v>0</v>
      </c>
      <c r="AF134" s="32">
        <f>IF(AQ134="2",BH134,0)</f>
        <v>0</v>
      </c>
      <c r="AG134" s="32">
        <f>IF(AQ134="2",BI134,0)</f>
        <v>0</v>
      </c>
      <c r="AH134" s="32">
        <f>IF(AQ134="0",BJ134,0)</f>
        <v>0</v>
      </c>
      <c r="AI134" s="28"/>
      <c r="AJ134" s="15">
        <f>IF(AN134=0,K134,0)</f>
        <v>0</v>
      </c>
      <c r="AK134" s="15">
        <f>IF(AN134=15,K134,0)</f>
        <v>0</v>
      </c>
      <c r="AL134" s="15">
        <f>IF(AN134=21,K134,0)</f>
        <v>0</v>
      </c>
      <c r="AN134" s="32">
        <v>21</v>
      </c>
      <c r="AO134" s="32">
        <f>H134*0.41157437567861</f>
        <v>0</v>
      </c>
      <c r="AP134" s="32">
        <f>H134*(1-0.41157437567861)</f>
        <v>0</v>
      </c>
      <c r="AQ134" s="27" t="s">
        <v>13</v>
      </c>
      <c r="AV134" s="32">
        <f>AW134+AX134</f>
        <v>0</v>
      </c>
      <c r="AW134" s="32">
        <f>G134*AO134</f>
        <v>0</v>
      </c>
      <c r="AX134" s="32">
        <f>G134*AP134</f>
        <v>0</v>
      </c>
      <c r="AY134" s="33" t="s">
        <v>669</v>
      </c>
      <c r="AZ134" s="33" t="s">
        <v>687</v>
      </c>
      <c r="BA134" s="28" t="s">
        <v>692</v>
      </c>
      <c r="BC134" s="32">
        <f>AW134+AX134</f>
        <v>0</v>
      </c>
      <c r="BD134" s="32">
        <f>H134/(100-BE134)*100</f>
        <v>0</v>
      </c>
      <c r="BE134" s="32">
        <v>0</v>
      </c>
      <c r="BF134" s="32">
        <f>132</f>
        <v>132</v>
      </c>
      <c r="BH134" s="15">
        <f>G134*AO134</f>
        <v>0</v>
      </c>
      <c r="BI134" s="15">
        <f>G134*AP134</f>
        <v>0</v>
      </c>
      <c r="BJ134" s="15">
        <f>G134*H134</f>
        <v>0</v>
      </c>
    </row>
    <row r="135" spans="1:62" x14ac:dyDescent="0.2">
      <c r="C135" s="58" t="s">
        <v>394</v>
      </c>
      <c r="D135" s="59"/>
      <c r="E135" s="59"/>
      <c r="G135" s="16">
        <v>190</v>
      </c>
    </row>
    <row r="136" spans="1:62" x14ac:dyDescent="0.2">
      <c r="A136" s="4" t="s">
        <v>42</v>
      </c>
      <c r="B136" s="4" t="s">
        <v>170</v>
      </c>
      <c r="C136" s="56" t="s">
        <v>741</v>
      </c>
      <c r="D136" s="57"/>
      <c r="E136" s="57"/>
      <c r="F136" s="4" t="s">
        <v>628</v>
      </c>
      <c r="G136" s="15">
        <v>190</v>
      </c>
      <c r="H136" s="15">
        <v>0</v>
      </c>
      <c r="I136" s="15">
        <f>G136*AO136</f>
        <v>0</v>
      </c>
      <c r="J136" s="15">
        <f>G136*AP136</f>
        <v>0</v>
      </c>
      <c r="K136" s="15">
        <f>G136*H136</f>
        <v>0</v>
      </c>
      <c r="L136" s="27" t="s">
        <v>648</v>
      </c>
      <c r="Z136" s="32">
        <f>IF(AQ136="5",BJ136,0)</f>
        <v>0</v>
      </c>
      <c r="AB136" s="32">
        <f>IF(AQ136="1",BH136,0)</f>
        <v>0</v>
      </c>
      <c r="AC136" s="32">
        <f>IF(AQ136="1",BI136,0)</f>
        <v>0</v>
      </c>
      <c r="AD136" s="32">
        <f>IF(AQ136="7",BH136,0)</f>
        <v>0</v>
      </c>
      <c r="AE136" s="32">
        <f>IF(AQ136="7",BI136,0)</f>
        <v>0</v>
      </c>
      <c r="AF136" s="32">
        <f>IF(AQ136="2",BH136,0)</f>
        <v>0</v>
      </c>
      <c r="AG136" s="32">
        <f>IF(AQ136="2",BI136,0)</f>
        <v>0</v>
      </c>
      <c r="AH136" s="32">
        <f>IF(AQ136="0",BJ136,0)</f>
        <v>0</v>
      </c>
      <c r="AI136" s="28"/>
      <c r="AJ136" s="15">
        <f>IF(AN136=0,K136,0)</f>
        <v>0</v>
      </c>
      <c r="AK136" s="15">
        <f>IF(AN136=15,K136,0)</f>
        <v>0</v>
      </c>
      <c r="AL136" s="15">
        <f>IF(AN136=21,K136,0)</f>
        <v>0</v>
      </c>
      <c r="AN136" s="32">
        <v>21</v>
      </c>
      <c r="AO136" s="32">
        <f>H136*0.353857142857143</f>
        <v>0</v>
      </c>
      <c r="AP136" s="32">
        <f>H136*(1-0.353857142857143)</f>
        <v>0</v>
      </c>
      <c r="AQ136" s="27" t="s">
        <v>13</v>
      </c>
      <c r="AV136" s="32">
        <f>AW136+AX136</f>
        <v>0</v>
      </c>
      <c r="AW136" s="32">
        <f>G136*AO136</f>
        <v>0</v>
      </c>
      <c r="AX136" s="32">
        <f>G136*AP136</f>
        <v>0</v>
      </c>
      <c r="AY136" s="33" t="s">
        <v>669</v>
      </c>
      <c r="AZ136" s="33" t="s">
        <v>687</v>
      </c>
      <c r="BA136" s="28" t="s">
        <v>692</v>
      </c>
      <c r="BC136" s="32">
        <f>AW136+AX136</f>
        <v>0</v>
      </c>
      <c r="BD136" s="32">
        <f>H136/(100-BE136)*100</f>
        <v>0</v>
      </c>
      <c r="BE136" s="32">
        <v>0</v>
      </c>
      <c r="BF136" s="32">
        <f>134</f>
        <v>134</v>
      </c>
      <c r="BH136" s="15">
        <f>G136*AO136</f>
        <v>0</v>
      </c>
      <c r="BI136" s="15">
        <f>G136*AP136</f>
        <v>0</v>
      </c>
      <c r="BJ136" s="15">
        <f>G136*H136</f>
        <v>0</v>
      </c>
    </row>
    <row r="137" spans="1:62" x14ac:dyDescent="0.2">
      <c r="C137" s="58" t="s">
        <v>394</v>
      </c>
      <c r="D137" s="59"/>
      <c r="E137" s="59"/>
      <c r="G137" s="16">
        <v>190</v>
      </c>
    </row>
    <row r="138" spans="1:62" x14ac:dyDescent="0.2">
      <c r="A138" s="4" t="s">
        <v>43</v>
      </c>
      <c r="B138" s="4" t="s">
        <v>171</v>
      </c>
      <c r="C138" s="56" t="s">
        <v>742</v>
      </c>
      <c r="D138" s="57"/>
      <c r="E138" s="57"/>
      <c r="F138" s="4" t="s">
        <v>628</v>
      </c>
      <c r="G138" s="15">
        <v>380</v>
      </c>
      <c r="H138" s="15">
        <v>0</v>
      </c>
      <c r="I138" s="15">
        <f>G138*AO138</f>
        <v>0</v>
      </c>
      <c r="J138" s="15">
        <f>G138*AP138</f>
        <v>0</v>
      </c>
      <c r="K138" s="15">
        <f>G138*H138</f>
        <v>0</v>
      </c>
      <c r="L138" s="27" t="s">
        <v>648</v>
      </c>
      <c r="Z138" s="32">
        <f>IF(AQ138="5",BJ138,0)</f>
        <v>0</v>
      </c>
      <c r="AB138" s="32">
        <f>IF(AQ138="1",BH138,0)</f>
        <v>0</v>
      </c>
      <c r="AC138" s="32">
        <f>IF(AQ138="1",BI138,0)</f>
        <v>0</v>
      </c>
      <c r="AD138" s="32">
        <f>IF(AQ138="7",BH138,0)</f>
        <v>0</v>
      </c>
      <c r="AE138" s="32">
        <f>IF(AQ138="7",BI138,0)</f>
        <v>0</v>
      </c>
      <c r="AF138" s="32">
        <f>IF(AQ138="2",BH138,0)</f>
        <v>0</v>
      </c>
      <c r="AG138" s="32">
        <f>IF(AQ138="2",BI138,0)</f>
        <v>0</v>
      </c>
      <c r="AH138" s="32">
        <f>IF(AQ138="0",BJ138,0)</f>
        <v>0</v>
      </c>
      <c r="AI138" s="28"/>
      <c r="AJ138" s="15">
        <f>IF(AN138=0,K138,0)</f>
        <v>0</v>
      </c>
      <c r="AK138" s="15">
        <f>IF(AN138=15,K138,0)</f>
        <v>0</v>
      </c>
      <c r="AL138" s="15">
        <f>IF(AN138=21,K138,0)</f>
        <v>0</v>
      </c>
      <c r="AN138" s="32">
        <v>21</v>
      </c>
      <c r="AO138" s="32">
        <f>H138*0.353857142857143</f>
        <v>0</v>
      </c>
      <c r="AP138" s="32">
        <f>H138*(1-0.353857142857143)</f>
        <v>0</v>
      </c>
      <c r="AQ138" s="27" t="s">
        <v>13</v>
      </c>
      <c r="AV138" s="32">
        <f>AW138+AX138</f>
        <v>0</v>
      </c>
      <c r="AW138" s="32">
        <f>G138*AO138</f>
        <v>0</v>
      </c>
      <c r="AX138" s="32">
        <f>G138*AP138</f>
        <v>0</v>
      </c>
      <c r="AY138" s="33" t="s">
        <v>669</v>
      </c>
      <c r="AZ138" s="33" t="s">
        <v>687</v>
      </c>
      <c r="BA138" s="28" t="s">
        <v>692</v>
      </c>
      <c r="BC138" s="32">
        <f>AW138+AX138</f>
        <v>0</v>
      </c>
      <c r="BD138" s="32">
        <f>H138/(100-BE138)*100</f>
        <v>0</v>
      </c>
      <c r="BE138" s="32">
        <v>0</v>
      </c>
      <c r="BF138" s="32">
        <f>136</f>
        <v>136</v>
      </c>
      <c r="BH138" s="15">
        <f>G138*AO138</f>
        <v>0</v>
      </c>
      <c r="BI138" s="15">
        <f>G138*AP138</f>
        <v>0</v>
      </c>
      <c r="BJ138" s="15">
        <f>G138*H138</f>
        <v>0</v>
      </c>
    </row>
    <row r="139" spans="1:62" x14ac:dyDescent="0.2">
      <c r="C139" s="58" t="s">
        <v>395</v>
      </c>
      <c r="D139" s="59"/>
      <c r="E139" s="59"/>
      <c r="G139" s="16">
        <v>380</v>
      </c>
    </row>
    <row r="140" spans="1:62" x14ac:dyDescent="0.2">
      <c r="A140" s="4" t="s">
        <v>44</v>
      </c>
      <c r="B140" s="4" t="s">
        <v>172</v>
      </c>
      <c r="C140" s="56" t="s">
        <v>396</v>
      </c>
      <c r="D140" s="57"/>
      <c r="E140" s="57"/>
      <c r="F140" s="4" t="s">
        <v>628</v>
      </c>
      <c r="G140" s="15">
        <v>190</v>
      </c>
      <c r="H140" s="15">
        <v>0</v>
      </c>
      <c r="I140" s="15">
        <f>G140*AO140</f>
        <v>0</v>
      </c>
      <c r="J140" s="15">
        <f>G140*AP140</f>
        <v>0</v>
      </c>
      <c r="K140" s="15">
        <f>G140*H140</f>
        <v>0</v>
      </c>
      <c r="L140" s="27" t="s">
        <v>648</v>
      </c>
      <c r="Z140" s="32">
        <f>IF(AQ140="5",BJ140,0)</f>
        <v>0</v>
      </c>
      <c r="AB140" s="32">
        <f>IF(AQ140="1",BH140,0)</f>
        <v>0</v>
      </c>
      <c r="AC140" s="32">
        <f>IF(AQ140="1",BI140,0)</f>
        <v>0</v>
      </c>
      <c r="AD140" s="32">
        <f>IF(AQ140="7",BH140,0)</f>
        <v>0</v>
      </c>
      <c r="AE140" s="32">
        <f>IF(AQ140="7",BI140,0)</f>
        <v>0</v>
      </c>
      <c r="AF140" s="32">
        <f>IF(AQ140="2",BH140,0)</f>
        <v>0</v>
      </c>
      <c r="AG140" s="32">
        <f>IF(AQ140="2",BI140,0)</f>
        <v>0</v>
      </c>
      <c r="AH140" s="32">
        <f>IF(AQ140="0",BJ140,0)</f>
        <v>0</v>
      </c>
      <c r="AI140" s="28"/>
      <c r="AJ140" s="15">
        <f>IF(AN140=0,K140,0)</f>
        <v>0</v>
      </c>
      <c r="AK140" s="15">
        <f>IF(AN140=15,K140,0)</f>
        <v>0</v>
      </c>
      <c r="AL140" s="15">
        <f>IF(AN140=21,K140,0)</f>
        <v>0</v>
      </c>
      <c r="AN140" s="32">
        <v>21</v>
      </c>
      <c r="AO140" s="32">
        <f>H140*0.421980676328502</f>
        <v>0</v>
      </c>
      <c r="AP140" s="32">
        <f>H140*(1-0.421980676328502)</f>
        <v>0</v>
      </c>
      <c r="AQ140" s="27" t="s">
        <v>13</v>
      </c>
      <c r="AV140" s="32">
        <f>AW140+AX140</f>
        <v>0</v>
      </c>
      <c r="AW140" s="32">
        <f>G140*AO140</f>
        <v>0</v>
      </c>
      <c r="AX140" s="32">
        <f>G140*AP140</f>
        <v>0</v>
      </c>
      <c r="AY140" s="33" t="s">
        <v>669</v>
      </c>
      <c r="AZ140" s="33" t="s">
        <v>687</v>
      </c>
      <c r="BA140" s="28" t="s">
        <v>692</v>
      </c>
      <c r="BC140" s="32">
        <f>AW140+AX140</f>
        <v>0</v>
      </c>
      <c r="BD140" s="32">
        <f>H140/(100-BE140)*100</f>
        <v>0</v>
      </c>
      <c r="BE140" s="32">
        <v>0</v>
      </c>
      <c r="BF140" s="32">
        <f>138</f>
        <v>138</v>
      </c>
      <c r="BH140" s="15">
        <f>G140*AO140</f>
        <v>0</v>
      </c>
      <c r="BI140" s="15">
        <f>G140*AP140</f>
        <v>0</v>
      </c>
      <c r="BJ140" s="15">
        <f>G140*H140</f>
        <v>0</v>
      </c>
    </row>
    <row r="141" spans="1:62" x14ac:dyDescent="0.2">
      <c r="C141" s="58" t="s">
        <v>394</v>
      </c>
      <c r="D141" s="59"/>
      <c r="E141" s="59"/>
      <c r="G141" s="16">
        <v>190</v>
      </c>
    </row>
    <row r="142" spans="1:62" x14ac:dyDescent="0.2">
      <c r="A142" s="6" t="s">
        <v>45</v>
      </c>
      <c r="B142" s="6" t="s">
        <v>173</v>
      </c>
      <c r="C142" s="68" t="s">
        <v>397</v>
      </c>
      <c r="D142" s="69"/>
      <c r="E142" s="69"/>
      <c r="F142" s="6" t="s">
        <v>628</v>
      </c>
      <c r="G142" s="17">
        <v>190</v>
      </c>
      <c r="H142" s="17">
        <v>0</v>
      </c>
      <c r="I142" s="17">
        <f>G142*AO142</f>
        <v>0</v>
      </c>
      <c r="J142" s="17">
        <f>G142*AP142</f>
        <v>0</v>
      </c>
      <c r="K142" s="17">
        <f>G142*H142</f>
        <v>0</v>
      </c>
      <c r="L142" s="29" t="s">
        <v>648</v>
      </c>
      <c r="Z142" s="32">
        <f>IF(AQ142="5",BJ142,0)</f>
        <v>0</v>
      </c>
      <c r="AB142" s="32">
        <f>IF(AQ142="1",BH142,0)</f>
        <v>0</v>
      </c>
      <c r="AC142" s="32">
        <f>IF(AQ142="1",BI142,0)</f>
        <v>0</v>
      </c>
      <c r="AD142" s="32">
        <f>IF(AQ142="7",BH142,0)</f>
        <v>0</v>
      </c>
      <c r="AE142" s="32">
        <f>IF(AQ142="7",BI142,0)</f>
        <v>0</v>
      </c>
      <c r="AF142" s="32">
        <f>IF(AQ142="2",BH142,0)</f>
        <v>0</v>
      </c>
      <c r="AG142" s="32">
        <f>IF(AQ142="2",BI142,0)</f>
        <v>0</v>
      </c>
      <c r="AH142" s="32">
        <f>IF(AQ142="0",BJ142,0)</f>
        <v>0</v>
      </c>
      <c r="AI142" s="28"/>
      <c r="AJ142" s="17">
        <f>IF(AN142=0,K142,0)</f>
        <v>0</v>
      </c>
      <c r="AK142" s="17">
        <f>IF(AN142=15,K142,0)</f>
        <v>0</v>
      </c>
      <c r="AL142" s="17">
        <f>IF(AN142=21,K142,0)</f>
        <v>0</v>
      </c>
      <c r="AN142" s="32">
        <v>21</v>
      </c>
      <c r="AO142" s="32">
        <f>H142*1</f>
        <v>0</v>
      </c>
      <c r="AP142" s="32">
        <f>H142*(1-1)</f>
        <v>0</v>
      </c>
      <c r="AQ142" s="29" t="s">
        <v>13</v>
      </c>
      <c r="AV142" s="32">
        <f>AW142+AX142</f>
        <v>0</v>
      </c>
      <c r="AW142" s="32">
        <f>G142*AO142</f>
        <v>0</v>
      </c>
      <c r="AX142" s="32">
        <f>G142*AP142</f>
        <v>0</v>
      </c>
      <c r="AY142" s="33" t="s">
        <v>669</v>
      </c>
      <c r="AZ142" s="33" t="s">
        <v>687</v>
      </c>
      <c r="BA142" s="28" t="s">
        <v>692</v>
      </c>
      <c r="BC142" s="32">
        <f>AW142+AX142</f>
        <v>0</v>
      </c>
      <c r="BD142" s="32">
        <f>H142/(100-BE142)*100</f>
        <v>0</v>
      </c>
      <c r="BE142" s="32">
        <v>0</v>
      </c>
      <c r="BF142" s="32">
        <f>140</f>
        <v>140</v>
      </c>
      <c r="BH142" s="17">
        <f>G142*AO142</f>
        <v>0</v>
      </c>
      <c r="BI142" s="17">
        <f>G142*AP142</f>
        <v>0</v>
      </c>
      <c r="BJ142" s="17">
        <f>G142*H142</f>
        <v>0</v>
      </c>
    </row>
    <row r="143" spans="1:62" x14ac:dyDescent="0.2">
      <c r="C143" s="58" t="s">
        <v>398</v>
      </c>
      <c r="D143" s="59"/>
      <c r="E143" s="59"/>
      <c r="G143" s="16">
        <v>190</v>
      </c>
    </row>
    <row r="144" spans="1:62" x14ac:dyDescent="0.2">
      <c r="A144" s="4" t="s">
        <v>46</v>
      </c>
      <c r="B144" s="4" t="s">
        <v>174</v>
      </c>
      <c r="C144" s="56" t="s">
        <v>399</v>
      </c>
      <c r="D144" s="57"/>
      <c r="E144" s="57"/>
      <c r="F144" s="4" t="s">
        <v>629</v>
      </c>
      <c r="G144" s="15">
        <v>5</v>
      </c>
      <c r="H144" s="15">
        <v>0</v>
      </c>
      <c r="I144" s="15">
        <f>G144*AO144</f>
        <v>0</v>
      </c>
      <c r="J144" s="15">
        <f>G144*AP144</f>
        <v>0</v>
      </c>
      <c r="K144" s="15">
        <f>G144*H144</f>
        <v>0</v>
      </c>
      <c r="L144" s="27"/>
      <c r="Z144" s="32">
        <f>IF(AQ144="5",BJ144,0)</f>
        <v>0</v>
      </c>
      <c r="AB144" s="32">
        <f>IF(AQ144="1",BH144,0)</f>
        <v>0</v>
      </c>
      <c r="AC144" s="32">
        <f>IF(AQ144="1",BI144,0)</f>
        <v>0</v>
      </c>
      <c r="AD144" s="32">
        <f>IF(AQ144="7",BH144,0)</f>
        <v>0</v>
      </c>
      <c r="AE144" s="32">
        <f>IF(AQ144="7",BI144,0)</f>
        <v>0</v>
      </c>
      <c r="AF144" s="32">
        <f>IF(AQ144="2",BH144,0)</f>
        <v>0</v>
      </c>
      <c r="AG144" s="32">
        <f>IF(AQ144="2",BI144,0)</f>
        <v>0</v>
      </c>
      <c r="AH144" s="32">
        <f>IF(AQ144="0",BJ144,0)</f>
        <v>0</v>
      </c>
      <c r="AI144" s="28"/>
      <c r="AJ144" s="15">
        <f>IF(AN144=0,K144,0)</f>
        <v>0</v>
      </c>
      <c r="AK144" s="15">
        <f>IF(AN144=15,K144,0)</f>
        <v>0</v>
      </c>
      <c r="AL144" s="15">
        <f>IF(AN144=21,K144,0)</f>
        <v>0</v>
      </c>
      <c r="AN144" s="32">
        <v>21</v>
      </c>
      <c r="AO144" s="32">
        <f>H144*0.714285714285714</f>
        <v>0</v>
      </c>
      <c r="AP144" s="32">
        <f>H144*(1-0.714285714285714)</f>
        <v>0</v>
      </c>
      <c r="AQ144" s="27" t="s">
        <v>13</v>
      </c>
      <c r="AV144" s="32">
        <f>AW144+AX144</f>
        <v>0</v>
      </c>
      <c r="AW144" s="32">
        <f>G144*AO144</f>
        <v>0</v>
      </c>
      <c r="AX144" s="32">
        <f>G144*AP144</f>
        <v>0</v>
      </c>
      <c r="AY144" s="33" t="s">
        <v>669</v>
      </c>
      <c r="AZ144" s="33" t="s">
        <v>687</v>
      </c>
      <c r="BA144" s="28" t="s">
        <v>692</v>
      </c>
      <c r="BC144" s="32">
        <f>AW144+AX144</f>
        <v>0</v>
      </c>
      <c r="BD144" s="32">
        <f>H144/(100-BE144)*100</f>
        <v>0</v>
      </c>
      <c r="BE144" s="32">
        <v>0</v>
      </c>
      <c r="BF144" s="32">
        <f>142</f>
        <v>142</v>
      </c>
      <c r="BH144" s="15">
        <f>G144*AO144</f>
        <v>0</v>
      </c>
      <c r="BI144" s="15">
        <f>G144*AP144</f>
        <v>0</v>
      </c>
      <c r="BJ144" s="15">
        <f>G144*H144</f>
        <v>0</v>
      </c>
    </row>
    <row r="145" spans="1:62" x14ac:dyDescent="0.2">
      <c r="C145" s="58" t="s">
        <v>400</v>
      </c>
      <c r="D145" s="59"/>
      <c r="E145" s="59"/>
      <c r="G145" s="16">
        <v>5</v>
      </c>
    </row>
    <row r="146" spans="1:62" x14ac:dyDescent="0.2">
      <c r="A146" s="4" t="s">
        <v>47</v>
      </c>
      <c r="B146" s="4" t="s">
        <v>175</v>
      </c>
      <c r="C146" s="56" t="s">
        <v>401</v>
      </c>
      <c r="D146" s="57"/>
      <c r="E146" s="57"/>
      <c r="F146" s="4" t="s">
        <v>625</v>
      </c>
      <c r="G146" s="15">
        <v>1210</v>
      </c>
      <c r="H146" s="15">
        <v>0</v>
      </c>
      <c r="I146" s="15">
        <f>G146*AO146</f>
        <v>0</v>
      </c>
      <c r="J146" s="15">
        <f>G146*AP146</f>
        <v>0</v>
      </c>
      <c r="K146" s="15">
        <f>G146*H146</f>
        <v>0</v>
      </c>
      <c r="L146" s="27" t="s">
        <v>648</v>
      </c>
      <c r="Z146" s="32">
        <f>IF(AQ146="5",BJ146,0)</f>
        <v>0</v>
      </c>
      <c r="AB146" s="32">
        <f>IF(AQ146="1",BH146,0)</f>
        <v>0</v>
      </c>
      <c r="AC146" s="32">
        <f>IF(AQ146="1",BI146,0)</f>
        <v>0</v>
      </c>
      <c r="AD146" s="32">
        <f>IF(AQ146="7",BH146,0)</f>
        <v>0</v>
      </c>
      <c r="AE146" s="32">
        <f>IF(AQ146="7",BI146,0)</f>
        <v>0</v>
      </c>
      <c r="AF146" s="32">
        <f>IF(AQ146="2",BH146,0)</f>
        <v>0</v>
      </c>
      <c r="AG146" s="32">
        <f>IF(AQ146="2",BI146,0)</f>
        <v>0</v>
      </c>
      <c r="AH146" s="32">
        <f>IF(AQ146="0",BJ146,0)</f>
        <v>0</v>
      </c>
      <c r="AI146" s="28"/>
      <c r="AJ146" s="15">
        <f>IF(AN146=0,K146,0)</f>
        <v>0</v>
      </c>
      <c r="AK146" s="15">
        <f>IF(AN146=15,K146,0)</f>
        <v>0</v>
      </c>
      <c r="AL146" s="15">
        <f>IF(AN146=21,K146,0)</f>
        <v>0</v>
      </c>
      <c r="AN146" s="32">
        <v>21</v>
      </c>
      <c r="AO146" s="32">
        <f>H146*0</f>
        <v>0</v>
      </c>
      <c r="AP146" s="32">
        <f>H146*(1-0)</f>
        <v>0</v>
      </c>
      <c r="AQ146" s="27" t="s">
        <v>13</v>
      </c>
      <c r="AV146" s="32">
        <f>AW146+AX146</f>
        <v>0</v>
      </c>
      <c r="AW146" s="32">
        <f>G146*AO146</f>
        <v>0</v>
      </c>
      <c r="AX146" s="32">
        <f>G146*AP146</f>
        <v>0</v>
      </c>
      <c r="AY146" s="33" t="s">
        <v>669</v>
      </c>
      <c r="AZ146" s="33" t="s">
        <v>687</v>
      </c>
      <c r="BA146" s="28" t="s">
        <v>692</v>
      </c>
      <c r="BC146" s="32">
        <f>AW146+AX146</f>
        <v>0</v>
      </c>
      <c r="BD146" s="32">
        <f>H146/(100-BE146)*100</f>
        <v>0</v>
      </c>
      <c r="BE146" s="32">
        <v>0</v>
      </c>
      <c r="BF146" s="32">
        <f>144</f>
        <v>144</v>
      </c>
      <c r="BH146" s="15">
        <f>G146*AO146</f>
        <v>0</v>
      </c>
      <c r="BI146" s="15">
        <f>G146*AP146</f>
        <v>0</v>
      </c>
      <c r="BJ146" s="15">
        <f>G146*H146</f>
        <v>0</v>
      </c>
    </row>
    <row r="147" spans="1:62" x14ac:dyDescent="0.2">
      <c r="C147" s="58" t="s">
        <v>402</v>
      </c>
      <c r="D147" s="59"/>
      <c r="E147" s="59"/>
      <c r="G147" s="16">
        <v>1210</v>
      </c>
    </row>
    <row r="148" spans="1:62" x14ac:dyDescent="0.2">
      <c r="A148" s="6" t="s">
        <v>48</v>
      </c>
      <c r="B148" s="6" t="s">
        <v>176</v>
      </c>
      <c r="C148" s="68" t="s">
        <v>743</v>
      </c>
      <c r="D148" s="69"/>
      <c r="E148" s="69"/>
      <c r="F148" s="6" t="s">
        <v>625</v>
      </c>
      <c r="G148" s="17">
        <v>1270.5</v>
      </c>
      <c r="H148" s="17">
        <v>0</v>
      </c>
      <c r="I148" s="17">
        <f>G148*AO148</f>
        <v>0</v>
      </c>
      <c r="J148" s="17">
        <f>G148*AP148</f>
        <v>0</v>
      </c>
      <c r="K148" s="17">
        <f>G148*H148</f>
        <v>0</v>
      </c>
      <c r="L148" s="29" t="s">
        <v>649</v>
      </c>
      <c r="Z148" s="32">
        <f>IF(AQ148="5",BJ148,0)</f>
        <v>0</v>
      </c>
      <c r="AB148" s="32">
        <f>IF(AQ148="1",BH148,0)</f>
        <v>0</v>
      </c>
      <c r="AC148" s="32">
        <f>IF(AQ148="1",BI148,0)</f>
        <v>0</v>
      </c>
      <c r="AD148" s="32">
        <f>IF(AQ148="7",BH148,0)</f>
        <v>0</v>
      </c>
      <c r="AE148" s="32">
        <f>IF(AQ148="7",BI148,0)</f>
        <v>0</v>
      </c>
      <c r="AF148" s="32">
        <f>IF(AQ148="2",BH148,0)</f>
        <v>0</v>
      </c>
      <c r="AG148" s="32">
        <f>IF(AQ148="2",BI148,0)</f>
        <v>0</v>
      </c>
      <c r="AH148" s="32">
        <f>IF(AQ148="0",BJ148,0)</f>
        <v>0</v>
      </c>
      <c r="AI148" s="28"/>
      <c r="AJ148" s="17">
        <f>IF(AN148=0,K148,0)</f>
        <v>0</v>
      </c>
      <c r="AK148" s="17">
        <f>IF(AN148=15,K148,0)</f>
        <v>0</v>
      </c>
      <c r="AL148" s="17">
        <f>IF(AN148=21,K148,0)</f>
        <v>0</v>
      </c>
      <c r="AN148" s="32">
        <v>21</v>
      </c>
      <c r="AO148" s="32">
        <f>H148*1</f>
        <v>0</v>
      </c>
      <c r="AP148" s="32">
        <f>H148*(1-1)</f>
        <v>0</v>
      </c>
      <c r="AQ148" s="29" t="s">
        <v>13</v>
      </c>
      <c r="AV148" s="32">
        <f>AW148+AX148</f>
        <v>0</v>
      </c>
      <c r="AW148" s="32">
        <f>G148*AO148</f>
        <v>0</v>
      </c>
      <c r="AX148" s="32">
        <f>G148*AP148</f>
        <v>0</v>
      </c>
      <c r="AY148" s="33" t="s">
        <v>669</v>
      </c>
      <c r="AZ148" s="33" t="s">
        <v>687</v>
      </c>
      <c r="BA148" s="28" t="s">
        <v>692</v>
      </c>
      <c r="BC148" s="32">
        <f>AW148+AX148</f>
        <v>0</v>
      </c>
      <c r="BD148" s="32">
        <f>H148/(100-BE148)*100</f>
        <v>0</v>
      </c>
      <c r="BE148" s="32">
        <v>0</v>
      </c>
      <c r="BF148" s="32">
        <f>146</f>
        <v>146</v>
      </c>
      <c r="BH148" s="17">
        <f>G148*AO148</f>
        <v>0</v>
      </c>
      <c r="BI148" s="17">
        <f>G148*AP148</f>
        <v>0</v>
      </c>
      <c r="BJ148" s="17">
        <f>G148*H148</f>
        <v>0</v>
      </c>
    </row>
    <row r="149" spans="1:62" x14ac:dyDescent="0.2">
      <c r="C149" s="58" t="s">
        <v>403</v>
      </c>
      <c r="D149" s="59"/>
      <c r="E149" s="59"/>
      <c r="G149" s="16">
        <v>1270.5</v>
      </c>
    </row>
    <row r="150" spans="1:62" x14ac:dyDescent="0.2">
      <c r="A150" s="4" t="s">
        <v>49</v>
      </c>
      <c r="B150" s="4" t="s">
        <v>177</v>
      </c>
      <c r="C150" s="56" t="s">
        <v>404</v>
      </c>
      <c r="D150" s="57"/>
      <c r="E150" s="57"/>
      <c r="F150" s="4" t="s">
        <v>625</v>
      </c>
      <c r="G150" s="15">
        <v>1210</v>
      </c>
      <c r="H150" s="15">
        <v>0</v>
      </c>
      <c r="I150" s="15">
        <f>G150*AO150</f>
        <v>0</v>
      </c>
      <c r="J150" s="15">
        <f>G150*AP150</f>
        <v>0</v>
      </c>
      <c r="K150" s="15">
        <f>G150*H150</f>
        <v>0</v>
      </c>
      <c r="L150" s="27" t="s">
        <v>649</v>
      </c>
      <c r="Z150" s="32">
        <f>IF(AQ150="5",BJ150,0)</f>
        <v>0</v>
      </c>
      <c r="AB150" s="32">
        <f>IF(AQ150="1",BH150,0)</f>
        <v>0</v>
      </c>
      <c r="AC150" s="32">
        <f>IF(AQ150="1",BI150,0)</f>
        <v>0</v>
      </c>
      <c r="AD150" s="32">
        <f>IF(AQ150="7",BH150,0)</f>
        <v>0</v>
      </c>
      <c r="AE150" s="32">
        <f>IF(AQ150="7",BI150,0)</f>
        <v>0</v>
      </c>
      <c r="AF150" s="32">
        <f>IF(AQ150="2",BH150,0)</f>
        <v>0</v>
      </c>
      <c r="AG150" s="32">
        <f>IF(AQ150="2",BI150,0)</f>
        <v>0</v>
      </c>
      <c r="AH150" s="32">
        <f>IF(AQ150="0",BJ150,0)</f>
        <v>0</v>
      </c>
      <c r="AI150" s="28"/>
      <c r="AJ150" s="15">
        <f>IF(AN150=0,K150,0)</f>
        <v>0</v>
      </c>
      <c r="AK150" s="15">
        <f>IF(AN150=15,K150,0)</f>
        <v>0</v>
      </c>
      <c r="AL150" s="15">
        <f>IF(AN150=21,K150,0)</f>
        <v>0</v>
      </c>
      <c r="AN150" s="32">
        <v>21</v>
      </c>
      <c r="AO150" s="32">
        <f>H150*0</f>
        <v>0</v>
      </c>
      <c r="AP150" s="32">
        <f>H150*(1-0)</f>
        <v>0</v>
      </c>
      <c r="AQ150" s="27" t="s">
        <v>13</v>
      </c>
      <c r="AV150" s="32">
        <f>AW150+AX150</f>
        <v>0</v>
      </c>
      <c r="AW150" s="32">
        <f>G150*AO150</f>
        <v>0</v>
      </c>
      <c r="AX150" s="32">
        <f>G150*AP150</f>
        <v>0</v>
      </c>
      <c r="AY150" s="33" t="s">
        <v>669</v>
      </c>
      <c r="AZ150" s="33" t="s">
        <v>687</v>
      </c>
      <c r="BA150" s="28" t="s">
        <v>692</v>
      </c>
      <c r="BC150" s="32">
        <f>AW150+AX150</f>
        <v>0</v>
      </c>
      <c r="BD150" s="32">
        <f>H150/(100-BE150)*100</f>
        <v>0</v>
      </c>
      <c r="BE150" s="32">
        <v>0</v>
      </c>
      <c r="BF150" s="32">
        <f>148</f>
        <v>148</v>
      </c>
      <c r="BH150" s="15">
        <f>G150*AO150</f>
        <v>0</v>
      </c>
      <c r="BI150" s="15">
        <f>G150*AP150</f>
        <v>0</v>
      </c>
      <c r="BJ150" s="15">
        <f>G150*H150</f>
        <v>0</v>
      </c>
    </row>
    <row r="151" spans="1:62" x14ac:dyDescent="0.2">
      <c r="C151" s="58" t="s">
        <v>744</v>
      </c>
      <c r="D151" s="59"/>
      <c r="E151" s="59"/>
      <c r="G151" s="16">
        <v>1210</v>
      </c>
    </row>
    <row r="152" spans="1:62" x14ac:dyDescent="0.2">
      <c r="A152" s="6" t="s">
        <v>50</v>
      </c>
      <c r="B152" s="6" t="s">
        <v>178</v>
      </c>
      <c r="C152" s="68" t="s">
        <v>745</v>
      </c>
      <c r="D152" s="69"/>
      <c r="E152" s="69"/>
      <c r="F152" s="6" t="s">
        <v>625</v>
      </c>
      <c r="G152" s="17">
        <v>1270.5</v>
      </c>
      <c r="H152" s="17">
        <v>0</v>
      </c>
      <c r="I152" s="17">
        <f>G152*AO152</f>
        <v>0</v>
      </c>
      <c r="J152" s="17">
        <f>G152*AP152</f>
        <v>0</v>
      </c>
      <c r="K152" s="17">
        <f>G152*H152</f>
        <v>0</v>
      </c>
      <c r="L152" s="29" t="s">
        <v>649</v>
      </c>
      <c r="Z152" s="32">
        <f>IF(AQ152="5",BJ152,0)</f>
        <v>0</v>
      </c>
      <c r="AB152" s="32">
        <f>IF(AQ152="1",BH152,0)</f>
        <v>0</v>
      </c>
      <c r="AC152" s="32">
        <f>IF(AQ152="1",BI152,0)</f>
        <v>0</v>
      </c>
      <c r="AD152" s="32">
        <f>IF(AQ152="7",BH152,0)</f>
        <v>0</v>
      </c>
      <c r="AE152" s="32">
        <f>IF(AQ152="7",BI152,0)</f>
        <v>0</v>
      </c>
      <c r="AF152" s="32">
        <f>IF(AQ152="2",BH152,0)</f>
        <v>0</v>
      </c>
      <c r="AG152" s="32">
        <f>IF(AQ152="2",BI152,0)</f>
        <v>0</v>
      </c>
      <c r="AH152" s="32">
        <f>IF(AQ152="0",BJ152,0)</f>
        <v>0</v>
      </c>
      <c r="AI152" s="28"/>
      <c r="AJ152" s="17">
        <f>IF(AN152=0,K152,0)</f>
        <v>0</v>
      </c>
      <c r="AK152" s="17">
        <f>IF(AN152=15,K152,0)</f>
        <v>0</v>
      </c>
      <c r="AL152" s="17">
        <f>IF(AN152=21,K152,0)</f>
        <v>0</v>
      </c>
      <c r="AN152" s="32">
        <v>21</v>
      </c>
      <c r="AO152" s="32">
        <f>H152*1</f>
        <v>0</v>
      </c>
      <c r="AP152" s="32">
        <f>H152*(1-1)</f>
        <v>0</v>
      </c>
      <c r="AQ152" s="29" t="s">
        <v>13</v>
      </c>
      <c r="AV152" s="32">
        <f>AW152+AX152</f>
        <v>0</v>
      </c>
      <c r="AW152" s="32">
        <f>G152*AO152</f>
        <v>0</v>
      </c>
      <c r="AX152" s="32">
        <f>G152*AP152</f>
        <v>0</v>
      </c>
      <c r="AY152" s="33" t="s">
        <v>669</v>
      </c>
      <c r="AZ152" s="33" t="s">
        <v>687</v>
      </c>
      <c r="BA152" s="28" t="s">
        <v>692</v>
      </c>
      <c r="BC152" s="32">
        <f>AW152+AX152</f>
        <v>0</v>
      </c>
      <c r="BD152" s="32">
        <f>H152/(100-BE152)*100</f>
        <v>0</v>
      </c>
      <c r="BE152" s="32">
        <v>0</v>
      </c>
      <c r="BF152" s="32">
        <f>150</f>
        <v>150</v>
      </c>
      <c r="BH152" s="17">
        <f>G152*AO152</f>
        <v>0</v>
      </c>
      <c r="BI152" s="17">
        <f>G152*AP152</f>
        <v>0</v>
      </c>
      <c r="BJ152" s="17">
        <f>G152*H152</f>
        <v>0</v>
      </c>
    </row>
    <row r="153" spans="1:62" x14ac:dyDescent="0.2">
      <c r="C153" s="58" t="s">
        <v>403</v>
      </c>
      <c r="D153" s="59"/>
      <c r="E153" s="59"/>
      <c r="G153" s="16">
        <v>1270.5</v>
      </c>
    </row>
    <row r="154" spans="1:62" x14ac:dyDescent="0.2">
      <c r="A154" s="4" t="s">
        <v>51</v>
      </c>
      <c r="B154" s="4" t="s">
        <v>179</v>
      </c>
      <c r="C154" s="56" t="s">
        <v>405</v>
      </c>
      <c r="D154" s="57"/>
      <c r="E154" s="57"/>
      <c r="F154" s="4" t="s">
        <v>625</v>
      </c>
      <c r="G154" s="15">
        <v>1210</v>
      </c>
      <c r="H154" s="15">
        <v>0</v>
      </c>
      <c r="I154" s="15">
        <f>G154*AO154</f>
        <v>0</v>
      </c>
      <c r="J154" s="15">
        <f>G154*AP154</f>
        <v>0</v>
      </c>
      <c r="K154" s="15">
        <f>G154*H154</f>
        <v>0</v>
      </c>
      <c r="L154" s="27" t="s">
        <v>649</v>
      </c>
      <c r="Z154" s="32">
        <f>IF(AQ154="5",BJ154,0)</f>
        <v>0</v>
      </c>
      <c r="AB154" s="32">
        <f>IF(AQ154="1",BH154,0)</f>
        <v>0</v>
      </c>
      <c r="AC154" s="32">
        <f>IF(AQ154="1",BI154,0)</f>
        <v>0</v>
      </c>
      <c r="AD154" s="32">
        <f>IF(AQ154="7",BH154,0)</f>
        <v>0</v>
      </c>
      <c r="AE154" s="32">
        <f>IF(AQ154="7",BI154,0)</f>
        <v>0</v>
      </c>
      <c r="AF154" s="32">
        <f>IF(AQ154="2",BH154,0)</f>
        <v>0</v>
      </c>
      <c r="AG154" s="32">
        <f>IF(AQ154="2",BI154,0)</f>
        <v>0</v>
      </c>
      <c r="AH154" s="32">
        <f>IF(AQ154="0",BJ154,0)</f>
        <v>0</v>
      </c>
      <c r="AI154" s="28"/>
      <c r="AJ154" s="15">
        <f>IF(AN154=0,K154,0)</f>
        <v>0</v>
      </c>
      <c r="AK154" s="15">
        <f>IF(AN154=15,K154,0)</f>
        <v>0</v>
      </c>
      <c r="AL154" s="15">
        <f>IF(AN154=21,K154,0)</f>
        <v>0</v>
      </c>
      <c r="AN154" s="32">
        <v>21</v>
      </c>
      <c r="AO154" s="32">
        <f>H154*0</f>
        <v>0</v>
      </c>
      <c r="AP154" s="32">
        <f>H154*(1-0)</f>
        <v>0</v>
      </c>
      <c r="AQ154" s="27" t="s">
        <v>13</v>
      </c>
      <c r="AV154" s="32">
        <f>AW154+AX154</f>
        <v>0</v>
      </c>
      <c r="AW154" s="32">
        <f>G154*AO154</f>
        <v>0</v>
      </c>
      <c r="AX154" s="32">
        <f>G154*AP154</f>
        <v>0</v>
      </c>
      <c r="AY154" s="33" t="s">
        <v>669</v>
      </c>
      <c r="AZ154" s="33" t="s">
        <v>687</v>
      </c>
      <c r="BA154" s="28" t="s">
        <v>692</v>
      </c>
      <c r="BC154" s="32">
        <f>AW154+AX154</f>
        <v>0</v>
      </c>
      <c r="BD154" s="32">
        <f>H154/(100-BE154)*100</f>
        <v>0</v>
      </c>
      <c r="BE154" s="32">
        <v>0</v>
      </c>
      <c r="BF154" s="32">
        <f>152</f>
        <v>152</v>
      </c>
      <c r="BH154" s="15">
        <f>G154*AO154</f>
        <v>0</v>
      </c>
      <c r="BI154" s="15">
        <f>G154*AP154</f>
        <v>0</v>
      </c>
      <c r="BJ154" s="15">
        <f>G154*H154</f>
        <v>0</v>
      </c>
    </row>
    <row r="155" spans="1:62" x14ac:dyDescent="0.2">
      <c r="C155" s="58" t="s">
        <v>402</v>
      </c>
      <c r="D155" s="59"/>
      <c r="E155" s="59"/>
      <c r="G155" s="16">
        <v>1210</v>
      </c>
    </row>
    <row r="156" spans="1:62" x14ac:dyDescent="0.2">
      <c r="A156" s="6" t="s">
        <v>52</v>
      </c>
      <c r="B156" s="6" t="s">
        <v>180</v>
      </c>
      <c r="C156" s="68" t="s">
        <v>746</v>
      </c>
      <c r="D156" s="69"/>
      <c r="E156" s="69"/>
      <c r="F156" s="6" t="s">
        <v>625</v>
      </c>
      <c r="G156" s="17">
        <v>1270.5</v>
      </c>
      <c r="H156" s="17">
        <v>0</v>
      </c>
      <c r="I156" s="17">
        <f>G156*AO156</f>
        <v>0</v>
      </c>
      <c r="J156" s="17">
        <f>G156*AP156</f>
        <v>0</v>
      </c>
      <c r="K156" s="17">
        <f>G156*H156</f>
        <v>0</v>
      </c>
      <c r="L156" s="29" t="s">
        <v>649</v>
      </c>
      <c r="Z156" s="32">
        <f>IF(AQ156="5",BJ156,0)</f>
        <v>0</v>
      </c>
      <c r="AB156" s="32">
        <f>IF(AQ156="1",BH156,0)</f>
        <v>0</v>
      </c>
      <c r="AC156" s="32">
        <f>IF(AQ156="1",BI156,0)</f>
        <v>0</v>
      </c>
      <c r="AD156" s="32">
        <f>IF(AQ156="7",BH156,0)</f>
        <v>0</v>
      </c>
      <c r="AE156" s="32">
        <f>IF(AQ156="7",BI156,0)</f>
        <v>0</v>
      </c>
      <c r="AF156" s="32">
        <f>IF(AQ156="2",BH156,0)</f>
        <v>0</v>
      </c>
      <c r="AG156" s="32">
        <f>IF(AQ156="2",BI156,0)</f>
        <v>0</v>
      </c>
      <c r="AH156" s="32">
        <f>IF(AQ156="0",BJ156,0)</f>
        <v>0</v>
      </c>
      <c r="AI156" s="28"/>
      <c r="AJ156" s="17">
        <f>IF(AN156=0,K156,0)</f>
        <v>0</v>
      </c>
      <c r="AK156" s="17">
        <f>IF(AN156=15,K156,0)</f>
        <v>0</v>
      </c>
      <c r="AL156" s="17">
        <f>IF(AN156=21,K156,0)</f>
        <v>0</v>
      </c>
      <c r="AN156" s="32">
        <v>21</v>
      </c>
      <c r="AO156" s="32">
        <f>H156*1</f>
        <v>0</v>
      </c>
      <c r="AP156" s="32">
        <f>H156*(1-1)</f>
        <v>0</v>
      </c>
      <c r="AQ156" s="29" t="s">
        <v>13</v>
      </c>
      <c r="AV156" s="32">
        <f>AW156+AX156</f>
        <v>0</v>
      </c>
      <c r="AW156" s="32">
        <f>G156*AO156</f>
        <v>0</v>
      </c>
      <c r="AX156" s="32">
        <f>G156*AP156</f>
        <v>0</v>
      </c>
      <c r="AY156" s="33" t="s">
        <v>669</v>
      </c>
      <c r="AZ156" s="33" t="s">
        <v>687</v>
      </c>
      <c r="BA156" s="28" t="s">
        <v>692</v>
      </c>
      <c r="BC156" s="32">
        <f>AW156+AX156</f>
        <v>0</v>
      </c>
      <c r="BD156" s="32">
        <f>H156/(100-BE156)*100</f>
        <v>0</v>
      </c>
      <c r="BE156" s="32">
        <v>0</v>
      </c>
      <c r="BF156" s="32">
        <f>154</f>
        <v>154</v>
      </c>
      <c r="BH156" s="17">
        <f>G156*AO156</f>
        <v>0</v>
      </c>
      <c r="BI156" s="17">
        <f>G156*AP156</f>
        <v>0</v>
      </c>
      <c r="BJ156" s="17">
        <f>G156*H156</f>
        <v>0</v>
      </c>
    </row>
    <row r="157" spans="1:62" x14ac:dyDescent="0.2">
      <c r="C157" s="58" t="s">
        <v>403</v>
      </c>
      <c r="D157" s="59"/>
      <c r="E157" s="59"/>
      <c r="G157" s="16">
        <v>1270.5</v>
      </c>
    </row>
    <row r="158" spans="1:62" x14ac:dyDescent="0.2">
      <c r="A158" s="4" t="s">
        <v>53</v>
      </c>
      <c r="B158" s="4" t="s">
        <v>181</v>
      </c>
      <c r="C158" s="56" t="s">
        <v>406</v>
      </c>
      <c r="D158" s="57"/>
      <c r="E158" s="57"/>
      <c r="F158" s="4" t="s">
        <v>630</v>
      </c>
      <c r="G158" s="15">
        <v>8.2280200000000008</v>
      </c>
      <c r="H158" s="15">
        <v>0</v>
      </c>
      <c r="I158" s="15">
        <f>G158*AO158</f>
        <v>0</v>
      </c>
      <c r="J158" s="15">
        <f>G158*AP158</f>
        <v>0</v>
      </c>
      <c r="K158" s="15">
        <f>G158*H158</f>
        <v>0</v>
      </c>
      <c r="L158" s="27" t="s">
        <v>648</v>
      </c>
      <c r="Z158" s="32">
        <f>IF(AQ158="5",BJ158,0)</f>
        <v>0</v>
      </c>
      <c r="AB158" s="32">
        <f>IF(AQ158="1",BH158,0)</f>
        <v>0</v>
      </c>
      <c r="AC158" s="32">
        <f>IF(AQ158="1",BI158,0)</f>
        <v>0</v>
      </c>
      <c r="AD158" s="32">
        <f>IF(AQ158="7",BH158,0)</f>
        <v>0</v>
      </c>
      <c r="AE158" s="32">
        <f>IF(AQ158="7",BI158,0)</f>
        <v>0</v>
      </c>
      <c r="AF158" s="32">
        <f>IF(AQ158="2",BH158,0)</f>
        <v>0</v>
      </c>
      <c r="AG158" s="32">
        <f>IF(AQ158="2",BI158,0)</f>
        <v>0</v>
      </c>
      <c r="AH158" s="32">
        <f>IF(AQ158="0",BJ158,0)</f>
        <v>0</v>
      </c>
      <c r="AI158" s="28"/>
      <c r="AJ158" s="15">
        <f>IF(AN158=0,K158,0)</f>
        <v>0</v>
      </c>
      <c r="AK158" s="15">
        <f>IF(AN158=15,K158,0)</f>
        <v>0</v>
      </c>
      <c r="AL158" s="15">
        <f>IF(AN158=21,K158,0)</f>
        <v>0</v>
      </c>
      <c r="AN158" s="32">
        <v>21</v>
      </c>
      <c r="AO158" s="32">
        <f>H158*0</f>
        <v>0</v>
      </c>
      <c r="AP158" s="32">
        <f>H158*(1-0)</f>
        <v>0</v>
      </c>
      <c r="AQ158" s="27" t="s">
        <v>11</v>
      </c>
      <c r="AV158" s="32">
        <f>AW158+AX158</f>
        <v>0</v>
      </c>
      <c r="AW158" s="32">
        <f>G158*AO158</f>
        <v>0</v>
      </c>
      <c r="AX158" s="32">
        <f>G158*AP158</f>
        <v>0</v>
      </c>
      <c r="AY158" s="33" t="s">
        <v>669</v>
      </c>
      <c r="AZ158" s="33" t="s">
        <v>687</v>
      </c>
      <c r="BA158" s="28" t="s">
        <v>692</v>
      </c>
      <c r="BC158" s="32">
        <f>AW158+AX158</f>
        <v>0</v>
      </c>
      <c r="BD158" s="32">
        <f>H158/(100-BE158)*100</f>
        <v>0</v>
      </c>
      <c r="BE158" s="32">
        <v>0</v>
      </c>
      <c r="BF158" s="32">
        <f>156</f>
        <v>156</v>
      </c>
      <c r="BH158" s="15">
        <f>G158*AO158</f>
        <v>0</v>
      </c>
      <c r="BI158" s="15">
        <f>G158*AP158</f>
        <v>0</v>
      </c>
      <c r="BJ158" s="15">
        <f>G158*H158</f>
        <v>0</v>
      </c>
    </row>
    <row r="159" spans="1:62" x14ac:dyDescent="0.2">
      <c r="C159" s="58" t="s">
        <v>407</v>
      </c>
      <c r="D159" s="59"/>
      <c r="E159" s="59"/>
      <c r="G159" s="16">
        <v>8.2280200000000008</v>
      </c>
    </row>
    <row r="160" spans="1:62" x14ac:dyDescent="0.2">
      <c r="A160" s="5"/>
      <c r="B160" s="13" t="s">
        <v>182</v>
      </c>
      <c r="C160" s="66" t="s">
        <v>408</v>
      </c>
      <c r="D160" s="67"/>
      <c r="E160" s="67"/>
      <c r="F160" s="5" t="s">
        <v>6</v>
      </c>
      <c r="G160" s="5" t="s">
        <v>6</v>
      </c>
      <c r="H160" s="5" t="s">
        <v>6</v>
      </c>
      <c r="I160" s="35">
        <f>SUM(I161:I172)</f>
        <v>0</v>
      </c>
      <c r="J160" s="35">
        <f>SUM(J161:J172)</f>
        <v>0</v>
      </c>
      <c r="K160" s="35">
        <f>SUM(K161:K172)</f>
        <v>0</v>
      </c>
      <c r="L160" s="28"/>
      <c r="AI160" s="28"/>
      <c r="AS160" s="35">
        <f>SUM(AJ161:AJ172)</f>
        <v>0</v>
      </c>
      <c r="AT160" s="35">
        <f>SUM(AK161:AK172)</f>
        <v>0</v>
      </c>
      <c r="AU160" s="35">
        <f>SUM(AL161:AL172)</f>
        <v>0</v>
      </c>
    </row>
    <row r="161" spans="1:62" x14ac:dyDescent="0.2">
      <c r="A161" s="4" t="s">
        <v>54</v>
      </c>
      <c r="B161" s="4" t="s">
        <v>183</v>
      </c>
      <c r="C161" s="56" t="s">
        <v>409</v>
      </c>
      <c r="D161" s="57"/>
      <c r="E161" s="57"/>
      <c r="F161" s="4" t="s">
        <v>625</v>
      </c>
      <c r="G161" s="15">
        <v>1208.75</v>
      </c>
      <c r="H161" s="15">
        <v>0</v>
      </c>
      <c r="I161" s="15">
        <f>G161*AO161</f>
        <v>0</v>
      </c>
      <c r="J161" s="15">
        <f>G161*AP161</f>
        <v>0</v>
      </c>
      <c r="K161" s="15">
        <f>G161*H161</f>
        <v>0</v>
      </c>
      <c r="L161" s="27" t="s">
        <v>648</v>
      </c>
      <c r="Z161" s="32">
        <f>IF(AQ161="5",BJ161,0)</f>
        <v>0</v>
      </c>
      <c r="AB161" s="32">
        <f>IF(AQ161="1",BH161,0)</f>
        <v>0</v>
      </c>
      <c r="AC161" s="32">
        <f>IF(AQ161="1",BI161,0)</f>
        <v>0</v>
      </c>
      <c r="AD161" s="32">
        <f>IF(AQ161="7",BH161,0)</f>
        <v>0</v>
      </c>
      <c r="AE161" s="32">
        <f>IF(AQ161="7",BI161,0)</f>
        <v>0</v>
      </c>
      <c r="AF161" s="32">
        <f>IF(AQ161="2",BH161,0)</f>
        <v>0</v>
      </c>
      <c r="AG161" s="32">
        <f>IF(AQ161="2",BI161,0)</f>
        <v>0</v>
      </c>
      <c r="AH161" s="32">
        <f>IF(AQ161="0",BJ161,0)</f>
        <v>0</v>
      </c>
      <c r="AI161" s="28"/>
      <c r="AJ161" s="15">
        <f>IF(AN161=0,K161,0)</f>
        <v>0</v>
      </c>
      <c r="AK161" s="15">
        <f>IF(AN161=15,K161,0)</f>
        <v>0</v>
      </c>
      <c r="AL161" s="15">
        <f>IF(AN161=21,K161,0)</f>
        <v>0</v>
      </c>
      <c r="AN161" s="32">
        <v>21</v>
      </c>
      <c r="AO161" s="32">
        <f>H161*0.269121338912134</f>
        <v>0</v>
      </c>
      <c r="AP161" s="32">
        <f>H161*(1-0.269121338912134)</f>
        <v>0</v>
      </c>
      <c r="AQ161" s="27" t="s">
        <v>13</v>
      </c>
      <c r="AV161" s="32">
        <f>AW161+AX161</f>
        <v>0</v>
      </c>
      <c r="AW161" s="32">
        <f>G161*AO161</f>
        <v>0</v>
      </c>
      <c r="AX161" s="32">
        <f>G161*AP161</f>
        <v>0</v>
      </c>
      <c r="AY161" s="33" t="s">
        <v>670</v>
      </c>
      <c r="AZ161" s="33" t="s">
        <v>687</v>
      </c>
      <c r="BA161" s="28" t="s">
        <v>692</v>
      </c>
      <c r="BC161" s="32">
        <f>AW161+AX161</f>
        <v>0</v>
      </c>
      <c r="BD161" s="32">
        <f>H161/(100-BE161)*100</f>
        <v>0</v>
      </c>
      <c r="BE161" s="32">
        <v>0</v>
      </c>
      <c r="BF161" s="32">
        <f>159</f>
        <v>159</v>
      </c>
      <c r="BH161" s="15">
        <f>G161*AO161</f>
        <v>0</v>
      </c>
      <c r="BI161" s="15">
        <f>G161*AP161</f>
        <v>0</v>
      </c>
      <c r="BJ161" s="15">
        <f>G161*H161</f>
        <v>0</v>
      </c>
    </row>
    <row r="162" spans="1:62" x14ac:dyDescent="0.2">
      <c r="C162" s="58" t="s">
        <v>410</v>
      </c>
      <c r="D162" s="59"/>
      <c r="E162" s="59"/>
      <c r="G162" s="16">
        <v>1089</v>
      </c>
    </row>
    <row r="163" spans="1:62" x14ac:dyDescent="0.2">
      <c r="C163" s="58" t="s">
        <v>411</v>
      </c>
      <c r="D163" s="59"/>
      <c r="E163" s="59"/>
      <c r="G163" s="16">
        <v>119.75</v>
      </c>
    </row>
    <row r="164" spans="1:62" x14ac:dyDescent="0.2">
      <c r="A164" s="6" t="s">
        <v>55</v>
      </c>
      <c r="B164" s="6" t="s">
        <v>184</v>
      </c>
      <c r="C164" s="68" t="s">
        <v>412</v>
      </c>
      <c r="D164" s="69"/>
      <c r="E164" s="69"/>
      <c r="F164" s="6" t="s">
        <v>626</v>
      </c>
      <c r="G164" s="17">
        <v>186.459</v>
      </c>
      <c r="H164" s="17">
        <v>0</v>
      </c>
      <c r="I164" s="17">
        <f>G164*AO164</f>
        <v>0</v>
      </c>
      <c r="J164" s="17">
        <f>G164*AP164</f>
        <v>0</v>
      </c>
      <c r="K164" s="17">
        <f>G164*H164</f>
        <v>0</v>
      </c>
      <c r="L164" s="29" t="s">
        <v>648</v>
      </c>
      <c r="Z164" s="32">
        <f>IF(AQ164="5",BJ164,0)</f>
        <v>0</v>
      </c>
      <c r="AB164" s="32">
        <f>IF(AQ164="1",BH164,0)</f>
        <v>0</v>
      </c>
      <c r="AC164" s="32">
        <f>IF(AQ164="1",BI164,0)</f>
        <v>0</v>
      </c>
      <c r="AD164" s="32">
        <f>IF(AQ164="7",BH164,0)</f>
        <v>0</v>
      </c>
      <c r="AE164" s="32">
        <f>IF(AQ164="7",BI164,0)</f>
        <v>0</v>
      </c>
      <c r="AF164" s="32">
        <f>IF(AQ164="2",BH164,0)</f>
        <v>0</v>
      </c>
      <c r="AG164" s="32">
        <f>IF(AQ164="2",BI164,0)</f>
        <v>0</v>
      </c>
      <c r="AH164" s="32">
        <f>IF(AQ164="0",BJ164,0)</f>
        <v>0</v>
      </c>
      <c r="AI164" s="28"/>
      <c r="AJ164" s="17">
        <f>IF(AN164=0,K164,0)</f>
        <v>0</v>
      </c>
      <c r="AK164" s="17">
        <f>IF(AN164=15,K164,0)</f>
        <v>0</v>
      </c>
      <c r="AL164" s="17">
        <f>IF(AN164=21,K164,0)</f>
        <v>0</v>
      </c>
      <c r="AN164" s="32">
        <v>21</v>
      </c>
      <c r="AO164" s="32">
        <f>H164*1</f>
        <v>0</v>
      </c>
      <c r="AP164" s="32">
        <f>H164*(1-1)</f>
        <v>0</v>
      </c>
      <c r="AQ164" s="29" t="s">
        <v>13</v>
      </c>
      <c r="AV164" s="32">
        <f>AW164+AX164</f>
        <v>0</v>
      </c>
      <c r="AW164" s="32">
        <f>G164*AO164</f>
        <v>0</v>
      </c>
      <c r="AX164" s="32">
        <f>G164*AP164</f>
        <v>0</v>
      </c>
      <c r="AY164" s="33" t="s">
        <v>670</v>
      </c>
      <c r="AZ164" s="33" t="s">
        <v>687</v>
      </c>
      <c r="BA164" s="28" t="s">
        <v>692</v>
      </c>
      <c r="BC164" s="32">
        <f>AW164+AX164</f>
        <v>0</v>
      </c>
      <c r="BD164" s="32">
        <f>H164/(100-BE164)*100</f>
        <v>0</v>
      </c>
      <c r="BE164" s="32">
        <v>0</v>
      </c>
      <c r="BF164" s="32">
        <f>162</f>
        <v>162</v>
      </c>
      <c r="BH164" s="17">
        <f>G164*AO164</f>
        <v>0</v>
      </c>
      <c r="BI164" s="17">
        <f>G164*AP164</f>
        <v>0</v>
      </c>
      <c r="BJ164" s="17">
        <f>G164*H164</f>
        <v>0</v>
      </c>
    </row>
    <row r="165" spans="1:62" x14ac:dyDescent="0.2">
      <c r="C165" s="58" t="s">
        <v>413</v>
      </c>
      <c r="D165" s="59"/>
      <c r="E165" s="59"/>
      <c r="G165" s="16">
        <v>174.24</v>
      </c>
    </row>
    <row r="166" spans="1:62" x14ac:dyDescent="0.2">
      <c r="C166" s="58" t="s">
        <v>414</v>
      </c>
      <c r="D166" s="59"/>
      <c r="E166" s="59"/>
      <c r="G166" s="16">
        <v>9.58</v>
      </c>
    </row>
    <row r="167" spans="1:62" x14ac:dyDescent="0.2">
      <c r="C167" s="58" t="s">
        <v>415</v>
      </c>
      <c r="D167" s="59"/>
      <c r="E167" s="59"/>
      <c r="G167" s="16">
        <v>9.1910000000000007</v>
      </c>
    </row>
    <row r="168" spans="1:62" x14ac:dyDescent="0.2">
      <c r="C168" s="58" t="s">
        <v>416</v>
      </c>
      <c r="D168" s="59"/>
      <c r="E168" s="59"/>
      <c r="G168" s="16">
        <v>-6.5519999999999996</v>
      </c>
    </row>
    <row r="169" spans="1:62" x14ac:dyDescent="0.2">
      <c r="A169" s="6" t="s">
        <v>56</v>
      </c>
      <c r="B169" s="6" t="s">
        <v>185</v>
      </c>
      <c r="C169" s="68" t="s">
        <v>747</v>
      </c>
      <c r="D169" s="69"/>
      <c r="E169" s="69"/>
      <c r="F169" s="6" t="s">
        <v>625</v>
      </c>
      <c r="G169" s="17">
        <v>40.950000000000003</v>
      </c>
      <c r="H169" s="17">
        <v>0</v>
      </c>
      <c r="I169" s="17">
        <f>G169*AO169</f>
        <v>0</v>
      </c>
      <c r="J169" s="17">
        <f>G169*AP169</f>
        <v>0</v>
      </c>
      <c r="K169" s="17">
        <f>G169*H169</f>
        <v>0</v>
      </c>
      <c r="L169" s="29" t="s">
        <v>649</v>
      </c>
      <c r="Z169" s="32">
        <f>IF(AQ169="5",BJ169,0)</f>
        <v>0</v>
      </c>
      <c r="AB169" s="32">
        <f>IF(AQ169="1",BH169,0)</f>
        <v>0</v>
      </c>
      <c r="AC169" s="32">
        <f>IF(AQ169="1",BI169,0)</f>
        <v>0</v>
      </c>
      <c r="AD169" s="32">
        <f>IF(AQ169="7",BH169,0)</f>
        <v>0</v>
      </c>
      <c r="AE169" s="32">
        <f>IF(AQ169="7",BI169,0)</f>
        <v>0</v>
      </c>
      <c r="AF169" s="32">
        <f>IF(AQ169="2",BH169,0)</f>
        <v>0</v>
      </c>
      <c r="AG169" s="32">
        <f>IF(AQ169="2",BI169,0)</f>
        <v>0</v>
      </c>
      <c r="AH169" s="32">
        <f>IF(AQ169="0",BJ169,0)</f>
        <v>0</v>
      </c>
      <c r="AI169" s="28"/>
      <c r="AJ169" s="17">
        <f>IF(AN169=0,K169,0)</f>
        <v>0</v>
      </c>
      <c r="AK169" s="17">
        <f>IF(AN169=15,K169,0)</f>
        <v>0</v>
      </c>
      <c r="AL169" s="17">
        <f>IF(AN169=21,K169,0)</f>
        <v>0</v>
      </c>
      <c r="AN169" s="32">
        <v>21</v>
      </c>
      <c r="AO169" s="32">
        <f>H169*1</f>
        <v>0</v>
      </c>
      <c r="AP169" s="32">
        <f>H169*(1-1)</f>
        <v>0</v>
      </c>
      <c r="AQ169" s="29" t="s">
        <v>13</v>
      </c>
      <c r="AV169" s="32">
        <f>AW169+AX169</f>
        <v>0</v>
      </c>
      <c r="AW169" s="32">
        <f>G169*AO169</f>
        <v>0</v>
      </c>
      <c r="AX169" s="32">
        <f>G169*AP169</f>
        <v>0</v>
      </c>
      <c r="AY169" s="33" t="s">
        <v>670</v>
      </c>
      <c r="AZ169" s="33" t="s">
        <v>687</v>
      </c>
      <c r="BA169" s="28" t="s">
        <v>692</v>
      </c>
      <c r="BC169" s="32">
        <f>AW169+AX169</f>
        <v>0</v>
      </c>
      <c r="BD169" s="32">
        <f>H169/(100-BE169)*100</f>
        <v>0</v>
      </c>
      <c r="BE169" s="32">
        <v>0</v>
      </c>
      <c r="BF169" s="32">
        <f>167</f>
        <v>167</v>
      </c>
      <c r="BH169" s="17">
        <f>G169*AO169</f>
        <v>0</v>
      </c>
      <c r="BI169" s="17">
        <f>G169*AP169</f>
        <v>0</v>
      </c>
      <c r="BJ169" s="17">
        <f>G169*H169</f>
        <v>0</v>
      </c>
    </row>
    <row r="170" spans="1:62" x14ac:dyDescent="0.2">
      <c r="C170" s="58" t="s">
        <v>417</v>
      </c>
      <c r="D170" s="59"/>
      <c r="E170" s="59"/>
      <c r="G170" s="16">
        <v>39</v>
      </c>
    </row>
    <row r="171" spans="1:62" x14ac:dyDescent="0.2">
      <c r="C171" s="58" t="s">
        <v>418</v>
      </c>
      <c r="D171" s="59"/>
      <c r="E171" s="59"/>
      <c r="G171" s="16">
        <v>1.95</v>
      </c>
    </row>
    <row r="172" spans="1:62" x14ac:dyDescent="0.2">
      <c r="A172" s="4" t="s">
        <v>57</v>
      </c>
      <c r="B172" s="4" t="s">
        <v>186</v>
      </c>
      <c r="C172" s="56" t="s">
        <v>419</v>
      </c>
      <c r="D172" s="57"/>
      <c r="E172" s="57"/>
      <c r="F172" s="4" t="s">
        <v>630</v>
      </c>
      <c r="G172" s="15">
        <v>5.79033</v>
      </c>
      <c r="H172" s="15">
        <v>0</v>
      </c>
      <c r="I172" s="15">
        <f>G172*AO172</f>
        <v>0</v>
      </c>
      <c r="J172" s="15">
        <f>G172*AP172</f>
        <v>0</v>
      </c>
      <c r="K172" s="15">
        <f>G172*H172</f>
        <v>0</v>
      </c>
      <c r="L172" s="27" t="s">
        <v>648</v>
      </c>
      <c r="Z172" s="32">
        <f>IF(AQ172="5",BJ172,0)</f>
        <v>0</v>
      </c>
      <c r="AB172" s="32">
        <f>IF(AQ172="1",BH172,0)</f>
        <v>0</v>
      </c>
      <c r="AC172" s="32">
        <f>IF(AQ172="1",BI172,0)</f>
        <v>0</v>
      </c>
      <c r="AD172" s="32">
        <f>IF(AQ172="7",BH172,0)</f>
        <v>0</v>
      </c>
      <c r="AE172" s="32">
        <f>IF(AQ172="7",BI172,0)</f>
        <v>0</v>
      </c>
      <c r="AF172" s="32">
        <f>IF(AQ172="2",BH172,0)</f>
        <v>0</v>
      </c>
      <c r="AG172" s="32">
        <f>IF(AQ172="2",BI172,0)</f>
        <v>0</v>
      </c>
      <c r="AH172" s="32">
        <f>IF(AQ172="0",BJ172,0)</f>
        <v>0</v>
      </c>
      <c r="AI172" s="28"/>
      <c r="AJ172" s="15">
        <f>IF(AN172=0,K172,0)</f>
        <v>0</v>
      </c>
      <c r="AK172" s="15">
        <f>IF(AN172=15,K172,0)</f>
        <v>0</v>
      </c>
      <c r="AL172" s="15">
        <f>IF(AN172=21,K172,0)</f>
        <v>0</v>
      </c>
      <c r="AN172" s="32">
        <v>21</v>
      </c>
      <c r="AO172" s="32">
        <f>H172*0</f>
        <v>0</v>
      </c>
      <c r="AP172" s="32">
        <f>H172*(1-0)</f>
        <v>0</v>
      </c>
      <c r="AQ172" s="27" t="s">
        <v>11</v>
      </c>
      <c r="AV172" s="32">
        <f>AW172+AX172</f>
        <v>0</v>
      </c>
      <c r="AW172" s="32">
        <f>G172*AO172</f>
        <v>0</v>
      </c>
      <c r="AX172" s="32">
        <f>G172*AP172</f>
        <v>0</v>
      </c>
      <c r="AY172" s="33" t="s">
        <v>670</v>
      </c>
      <c r="AZ172" s="33" t="s">
        <v>687</v>
      </c>
      <c r="BA172" s="28" t="s">
        <v>692</v>
      </c>
      <c r="BC172" s="32">
        <f>AW172+AX172</f>
        <v>0</v>
      </c>
      <c r="BD172" s="32">
        <f>H172/(100-BE172)*100</f>
        <v>0</v>
      </c>
      <c r="BE172" s="32">
        <v>0</v>
      </c>
      <c r="BF172" s="32">
        <f>170</f>
        <v>170</v>
      </c>
      <c r="BH172" s="15">
        <f>G172*AO172</f>
        <v>0</v>
      </c>
      <c r="BI172" s="15">
        <f>G172*AP172</f>
        <v>0</v>
      </c>
      <c r="BJ172" s="15">
        <f>G172*H172</f>
        <v>0</v>
      </c>
    </row>
    <row r="173" spans="1:62" x14ac:dyDescent="0.2">
      <c r="C173" s="58" t="s">
        <v>420</v>
      </c>
      <c r="D173" s="59"/>
      <c r="E173" s="59"/>
      <c r="G173" s="16">
        <v>5.79033</v>
      </c>
    </row>
    <row r="174" spans="1:62" x14ac:dyDescent="0.2">
      <c r="A174" s="5"/>
      <c r="B174" s="13" t="s">
        <v>187</v>
      </c>
      <c r="C174" s="66" t="s">
        <v>421</v>
      </c>
      <c r="D174" s="67"/>
      <c r="E174" s="67"/>
      <c r="F174" s="5" t="s">
        <v>6</v>
      </c>
      <c r="G174" s="5" t="s">
        <v>6</v>
      </c>
      <c r="H174" s="5" t="s">
        <v>6</v>
      </c>
      <c r="I174" s="35">
        <f>SUM(I175:I175)</f>
        <v>0</v>
      </c>
      <c r="J174" s="35">
        <f>SUM(J175:J175)</f>
        <v>0</v>
      </c>
      <c r="K174" s="35">
        <f>SUM(K175:K175)</f>
        <v>0</v>
      </c>
      <c r="L174" s="28"/>
      <c r="AI174" s="28"/>
      <c r="AS174" s="35">
        <f>SUM(AJ175:AJ175)</f>
        <v>0</v>
      </c>
      <c r="AT174" s="35">
        <f>SUM(AK175:AK175)</f>
        <v>0</v>
      </c>
      <c r="AU174" s="35">
        <f>SUM(AL175:AL175)</f>
        <v>0</v>
      </c>
    </row>
    <row r="175" spans="1:62" x14ac:dyDescent="0.2">
      <c r="A175" s="4" t="s">
        <v>58</v>
      </c>
      <c r="B175" s="4" t="s">
        <v>188</v>
      </c>
      <c r="C175" s="56" t="s">
        <v>422</v>
      </c>
      <c r="D175" s="57"/>
      <c r="E175" s="57"/>
      <c r="F175" s="4" t="s">
        <v>629</v>
      </c>
      <c r="G175" s="15">
        <v>5</v>
      </c>
      <c r="H175" s="15">
        <v>0</v>
      </c>
      <c r="I175" s="15">
        <f>G175*AO175</f>
        <v>0</v>
      </c>
      <c r="J175" s="15">
        <f>G175*AP175</f>
        <v>0</v>
      </c>
      <c r="K175" s="15">
        <f>G175*H175</f>
        <v>0</v>
      </c>
      <c r="L175" s="27" t="s">
        <v>648</v>
      </c>
      <c r="Z175" s="32">
        <f>IF(AQ175="5",BJ175,0)</f>
        <v>0</v>
      </c>
      <c r="AB175" s="32">
        <f>IF(AQ175="1",BH175,0)</f>
        <v>0</v>
      </c>
      <c r="AC175" s="32">
        <f>IF(AQ175="1",BI175,0)</f>
        <v>0</v>
      </c>
      <c r="AD175" s="32">
        <f>IF(AQ175="7",BH175,0)</f>
        <v>0</v>
      </c>
      <c r="AE175" s="32">
        <f>IF(AQ175="7",BI175,0)</f>
        <v>0</v>
      </c>
      <c r="AF175" s="32">
        <f>IF(AQ175="2",BH175,0)</f>
        <v>0</v>
      </c>
      <c r="AG175" s="32">
        <f>IF(AQ175="2",BI175,0)</f>
        <v>0</v>
      </c>
      <c r="AH175" s="32">
        <f>IF(AQ175="0",BJ175,0)</f>
        <v>0</v>
      </c>
      <c r="AI175" s="28"/>
      <c r="AJ175" s="15">
        <f>IF(AN175=0,K175,0)</f>
        <v>0</v>
      </c>
      <c r="AK175" s="15">
        <f>IF(AN175=15,K175,0)</f>
        <v>0</v>
      </c>
      <c r="AL175" s="15">
        <f>IF(AN175=21,K175,0)</f>
        <v>0</v>
      </c>
      <c r="AN175" s="32">
        <v>21</v>
      </c>
      <c r="AO175" s="32">
        <f>H175*0</f>
        <v>0</v>
      </c>
      <c r="AP175" s="32">
        <f>H175*(1-0)</f>
        <v>0</v>
      </c>
      <c r="AQ175" s="27" t="s">
        <v>13</v>
      </c>
      <c r="AV175" s="32">
        <f>AW175+AX175</f>
        <v>0</v>
      </c>
      <c r="AW175" s="32">
        <f>G175*AO175</f>
        <v>0</v>
      </c>
      <c r="AX175" s="32">
        <f>G175*AP175</f>
        <v>0</v>
      </c>
      <c r="AY175" s="33" t="s">
        <v>671</v>
      </c>
      <c r="AZ175" s="33" t="s">
        <v>688</v>
      </c>
      <c r="BA175" s="28" t="s">
        <v>692</v>
      </c>
      <c r="BC175" s="32">
        <f>AW175+AX175</f>
        <v>0</v>
      </c>
      <c r="BD175" s="32">
        <f>H175/(100-BE175)*100</f>
        <v>0</v>
      </c>
      <c r="BE175" s="32">
        <v>0</v>
      </c>
      <c r="BF175" s="32">
        <f>173</f>
        <v>173</v>
      </c>
      <c r="BH175" s="15">
        <f>G175*AO175</f>
        <v>0</v>
      </c>
      <c r="BI175" s="15">
        <f>G175*AP175</f>
        <v>0</v>
      </c>
      <c r="BJ175" s="15">
        <f>G175*H175</f>
        <v>0</v>
      </c>
    </row>
    <row r="176" spans="1:62" x14ac:dyDescent="0.2">
      <c r="C176" s="58" t="s">
        <v>423</v>
      </c>
      <c r="D176" s="59"/>
      <c r="E176" s="59"/>
      <c r="G176" s="16">
        <v>5</v>
      </c>
    </row>
    <row r="177" spans="1:62" x14ac:dyDescent="0.2">
      <c r="A177" s="5"/>
      <c r="B177" s="13" t="s">
        <v>189</v>
      </c>
      <c r="C177" s="66" t="s">
        <v>424</v>
      </c>
      <c r="D177" s="67"/>
      <c r="E177" s="67"/>
      <c r="F177" s="5" t="s">
        <v>6</v>
      </c>
      <c r="G177" s="5" t="s">
        <v>6</v>
      </c>
      <c r="H177" s="5" t="s">
        <v>6</v>
      </c>
      <c r="I177" s="35">
        <f>SUM(I178:I196)</f>
        <v>0</v>
      </c>
      <c r="J177" s="35">
        <f>SUM(J178:J196)</f>
        <v>0</v>
      </c>
      <c r="K177" s="35">
        <f>SUM(K178:K196)</f>
        <v>0</v>
      </c>
      <c r="L177" s="28"/>
      <c r="AI177" s="28"/>
      <c r="AS177" s="35">
        <f>SUM(AJ178:AJ196)</f>
        <v>0</v>
      </c>
      <c r="AT177" s="35">
        <f>SUM(AK178:AK196)</f>
        <v>0</v>
      </c>
      <c r="AU177" s="35">
        <f>SUM(AL178:AL196)</f>
        <v>0</v>
      </c>
    </row>
    <row r="178" spans="1:62" x14ac:dyDescent="0.2">
      <c r="A178" s="4" t="s">
        <v>59</v>
      </c>
      <c r="B178" s="4" t="s">
        <v>190</v>
      </c>
      <c r="C178" s="56" t="s">
        <v>425</v>
      </c>
      <c r="D178" s="57"/>
      <c r="E178" s="57"/>
      <c r="F178" s="4" t="s">
        <v>629</v>
      </c>
      <c r="G178" s="15">
        <v>1</v>
      </c>
      <c r="H178" s="15">
        <v>0</v>
      </c>
      <c r="I178" s="15">
        <f>G178*AO178</f>
        <v>0</v>
      </c>
      <c r="J178" s="15">
        <f>G178*AP178</f>
        <v>0</v>
      </c>
      <c r="K178" s="15">
        <f>G178*H178</f>
        <v>0</v>
      </c>
      <c r="L178" s="27" t="s">
        <v>648</v>
      </c>
      <c r="Z178" s="32">
        <f>IF(AQ178="5",BJ178,0)</f>
        <v>0</v>
      </c>
      <c r="AB178" s="32">
        <f>IF(AQ178="1",BH178,0)</f>
        <v>0</v>
      </c>
      <c r="AC178" s="32">
        <f>IF(AQ178="1",BI178,0)</f>
        <v>0</v>
      </c>
      <c r="AD178" s="32">
        <f>IF(AQ178="7",BH178,0)</f>
        <v>0</v>
      </c>
      <c r="AE178" s="32">
        <f>IF(AQ178="7",BI178,0)</f>
        <v>0</v>
      </c>
      <c r="AF178" s="32">
        <f>IF(AQ178="2",BH178,0)</f>
        <v>0</v>
      </c>
      <c r="AG178" s="32">
        <f>IF(AQ178="2",BI178,0)</f>
        <v>0</v>
      </c>
      <c r="AH178" s="32">
        <f>IF(AQ178="0",BJ178,0)</f>
        <v>0</v>
      </c>
      <c r="AI178" s="28"/>
      <c r="AJ178" s="15">
        <f>IF(AN178=0,K178,0)</f>
        <v>0</v>
      </c>
      <c r="AK178" s="15">
        <f>IF(AN178=15,K178,0)</f>
        <v>0</v>
      </c>
      <c r="AL178" s="15">
        <f>IF(AN178=21,K178,0)</f>
        <v>0</v>
      </c>
      <c r="AN178" s="32">
        <v>21</v>
      </c>
      <c r="AO178" s="32">
        <f>H178*0</f>
        <v>0</v>
      </c>
      <c r="AP178" s="32">
        <f>H178*(1-0)</f>
        <v>0</v>
      </c>
      <c r="AQ178" s="27" t="s">
        <v>13</v>
      </c>
      <c r="AV178" s="32">
        <f>AW178+AX178</f>
        <v>0</v>
      </c>
      <c r="AW178" s="32">
        <f>G178*AO178</f>
        <v>0</v>
      </c>
      <c r="AX178" s="32">
        <f>G178*AP178</f>
        <v>0</v>
      </c>
      <c r="AY178" s="33" t="s">
        <v>672</v>
      </c>
      <c r="AZ178" s="33" t="s">
        <v>688</v>
      </c>
      <c r="BA178" s="28" t="s">
        <v>692</v>
      </c>
      <c r="BC178" s="32">
        <f>AW178+AX178</f>
        <v>0</v>
      </c>
      <c r="BD178" s="32">
        <f>H178/(100-BE178)*100</f>
        <v>0</v>
      </c>
      <c r="BE178" s="32">
        <v>0</v>
      </c>
      <c r="BF178" s="32">
        <f>176</f>
        <v>176</v>
      </c>
      <c r="BH178" s="15">
        <f>G178*AO178</f>
        <v>0</v>
      </c>
      <c r="BI178" s="15">
        <f>G178*AP178</f>
        <v>0</v>
      </c>
      <c r="BJ178" s="15">
        <f>G178*H178</f>
        <v>0</v>
      </c>
    </row>
    <row r="179" spans="1:62" x14ac:dyDescent="0.2">
      <c r="C179" s="58" t="s">
        <v>426</v>
      </c>
      <c r="D179" s="59"/>
      <c r="E179" s="59"/>
      <c r="G179" s="16">
        <v>1</v>
      </c>
    </row>
    <row r="180" spans="1:62" x14ac:dyDescent="0.2">
      <c r="A180" s="4" t="s">
        <v>60</v>
      </c>
      <c r="B180" s="4" t="s">
        <v>191</v>
      </c>
      <c r="C180" s="56" t="s">
        <v>427</v>
      </c>
      <c r="D180" s="57"/>
      <c r="E180" s="57"/>
      <c r="F180" s="4" t="s">
        <v>629</v>
      </c>
      <c r="G180" s="15">
        <v>72</v>
      </c>
      <c r="H180" s="15">
        <v>0</v>
      </c>
      <c r="I180" s="15">
        <f>G180*AO180</f>
        <v>0</v>
      </c>
      <c r="J180" s="15">
        <f>G180*AP180</f>
        <v>0</v>
      </c>
      <c r="K180" s="15">
        <f>G180*H180</f>
        <v>0</v>
      </c>
      <c r="L180" s="27" t="s">
        <v>648</v>
      </c>
      <c r="Z180" s="32">
        <f>IF(AQ180="5",BJ180,0)</f>
        <v>0</v>
      </c>
      <c r="AB180" s="32">
        <f>IF(AQ180="1",BH180,0)</f>
        <v>0</v>
      </c>
      <c r="AC180" s="32">
        <f>IF(AQ180="1",BI180,0)</f>
        <v>0</v>
      </c>
      <c r="AD180" s="32">
        <f>IF(AQ180="7",BH180,0)</f>
        <v>0</v>
      </c>
      <c r="AE180" s="32">
        <f>IF(AQ180="7",BI180,0)</f>
        <v>0</v>
      </c>
      <c r="AF180" s="32">
        <f>IF(AQ180="2",BH180,0)</f>
        <v>0</v>
      </c>
      <c r="AG180" s="32">
        <f>IF(AQ180="2",BI180,0)</f>
        <v>0</v>
      </c>
      <c r="AH180" s="32">
        <f>IF(AQ180="0",BJ180,0)</f>
        <v>0</v>
      </c>
      <c r="AI180" s="28"/>
      <c r="AJ180" s="15">
        <f>IF(AN180=0,K180,0)</f>
        <v>0</v>
      </c>
      <c r="AK180" s="15">
        <f>IF(AN180=15,K180,0)</f>
        <v>0</v>
      </c>
      <c r="AL180" s="15">
        <f>IF(AN180=21,K180,0)</f>
        <v>0</v>
      </c>
      <c r="AN180" s="32">
        <v>21</v>
      </c>
      <c r="AO180" s="32">
        <f>H180*0</f>
        <v>0</v>
      </c>
      <c r="AP180" s="32">
        <f>H180*(1-0)</f>
        <v>0</v>
      </c>
      <c r="AQ180" s="27" t="s">
        <v>13</v>
      </c>
      <c r="AV180" s="32">
        <f>AW180+AX180</f>
        <v>0</v>
      </c>
      <c r="AW180" s="32">
        <f>G180*AO180</f>
        <v>0</v>
      </c>
      <c r="AX180" s="32">
        <f>G180*AP180</f>
        <v>0</v>
      </c>
      <c r="AY180" s="33" t="s">
        <v>672</v>
      </c>
      <c r="AZ180" s="33" t="s">
        <v>688</v>
      </c>
      <c r="BA180" s="28" t="s">
        <v>692</v>
      </c>
      <c r="BC180" s="32">
        <f>AW180+AX180</f>
        <v>0</v>
      </c>
      <c r="BD180" s="32">
        <f>H180/(100-BE180)*100</f>
        <v>0</v>
      </c>
      <c r="BE180" s="32">
        <v>0</v>
      </c>
      <c r="BF180" s="32">
        <f>178</f>
        <v>178</v>
      </c>
      <c r="BH180" s="15">
        <f>G180*AO180</f>
        <v>0</v>
      </c>
      <c r="BI180" s="15">
        <f>G180*AP180</f>
        <v>0</v>
      </c>
      <c r="BJ180" s="15">
        <f>G180*H180</f>
        <v>0</v>
      </c>
    </row>
    <row r="181" spans="1:62" x14ac:dyDescent="0.2">
      <c r="C181" s="58" t="s">
        <v>428</v>
      </c>
      <c r="D181" s="59"/>
      <c r="E181" s="59"/>
      <c r="G181" s="16">
        <v>61</v>
      </c>
    </row>
    <row r="182" spans="1:62" x14ac:dyDescent="0.2">
      <c r="C182" s="58" t="s">
        <v>429</v>
      </c>
      <c r="D182" s="59"/>
      <c r="E182" s="59"/>
      <c r="G182" s="16">
        <v>11</v>
      </c>
    </row>
    <row r="183" spans="1:62" x14ac:dyDescent="0.2">
      <c r="C183" s="58" t="s">
        <v>430</v>
      </c>
      <c r="D183" s="59"/>
      <c r="E183" s="59"/>
      <c r="G183" s="16">
        <v>0</v>
      </c>
    </row>
    <row r="184" spans="1:62" x14ac:dyDescent="0.2">
      <c r="A184" s="4" t="s">
        <v>61</v>
      </c>
      <c r="B184" s="4" t="s">
        <v>192</v>
      </c>
      <c r="C184" s="56" t="s">
        <v>431</v>
      </c>
      <c r="D184" s="57"/>
      <c r="E184" s="57"/>
      <c r="F184" s="4" t="s">
        <v>629</v>
      </c>
      <c r="G184" s="15">
        <v>1</v>
      </c>
      <c r="H184" s="15">
        <v>0</v>
      </c>
      <c r="I184" s="15">
        <f>G184*AO184</f>
        <v>0</v>
      </c>
      <c r="J184" s="15">
        <f>G184*AP184</f>
        <v>0</v>
      </c>
      <c r="K184" s="15">
        <f>G184*H184</f>
        <v>0</v>
      </c>
      <c r="L184" s="27" t="s">
        <v>648</v>
      </c>
      <c r="Z184" s="32">
        <f>IF(AQ184="5",BJ184,0)</f>
        <v>0</v>
      </c>
      <c r="AB184" s="32">
        <f>IF(AQ184="1",BH184,0)</f>
        <v>0</v>
      </c>
      <c r="AC184" s="32">
        <f>IF(AQ184="1",BI184,0)</f>
        <v>0</v>
      </c>
      <c r="AD184" s="32">
        <f>IF(AQ184="7",BH184,0)</f>
        <v>0</v>
      </c>
      <c r="AE184" s="32">
        <f>IF(AQ184="7",BI184,0)</f>
        <v>0</v>
      </c>
      <c r="AF184" s="32">
        <f>IF(AQ184="2",BH184,0)</f>
        <v>0</v>
      </c>
      <c r="AG184" s="32">
        <f>IF(AQ184="2",BI184,0)</f>
        <v>0</v>
      </c>
      <c r="AH184" s="32">
        <f>IF(AQ184="0",BJ184,0)</f>
        <v>0</v>
      </c>
      <c r="AI184" s="28"/>
      <c r="AJ184" s="15">
        <f>IF(AN184=0,K184,0)</f>
        <v>0</v>
      </c>
      <c r="AK184" s="15">
        <f>IF(AN184=15,K184,0)</f>
        <v>0</v>
      </c>
      <c r="AL184" s="15">
        <f>IF(AN184=21,K184,0)</f>
        <v>0</v>
      </c>
      <c r="AN184" s="32">
        <v>21</v>
      </c>
      <c r="AO184" s="32">
        <f>H184*0.820918</f>
        <v>0</v>
      </c>
      <c r="AP184" s="32">
        <f>H184*(1-0.820918)</f>
        <v>0</v>
      </c>
      <c r="AQ184" s="27" t="s">
        <v>13</v>
      </c>
      <c r="AV184" s="32">
        <f>AW184+AX184</f>
        <v>0</v>
      </c>
      <c r="AW184" s="32">
        <f>G184*AO184</f>
        <v>0</v>
      </c>
      <c r="AX184" s="32">
        <f>G184*AP184</f>
        <v>0</v>
      </c>
      <c r="AY184" s="33" t="s">
        <v>672</v>
      </c>
      <c r="AZ184" s="33" t="s">
        <v>688</v>
      </c>
      <c r="BA184" s="28" t="s">
        <v>692</v>
      </c>
      <c r="BC184" s="32">
        <f>AW184+AX184</f>
        <v>0</v>
      </c>
      <c r="BD184" s="32">
        <f>H184/(100-BE184)*100</f>
        <v>0</v>
      </c>
      <c r="BE184" s="32">
        <v>0</v>
      </c>
      <c r="BF184" s="32">
        <f>182</f>
        <v>182</v>
      </c>
      <c r="BH184" s="15">
        <f>G184*AO184</f>
        <v>0</v>
      </c>
      <c r="BI184" s="15">
        <f>G184*AP184</f>
        <v>0</v>
      </c>
      <c r="BJ184" s="15">
        <f>G184*H184</f>
        <v>0</v>
      </c>
    </row>
    <row r="185" spans="1:62" x14ac:dyDescent="0.2">
      <c r="C185" s="58" t="s">
        <v>432</v>
      </c>
      <c r="D185" s="59"/>
      <c r="E185" s="59"/>
      <c r="G185" s="16">
        <v>1</v>
      </c>
    </row>
    <row r="186" spans="1:62" x14ac:dyDescent="0.2">
      <c r="A186" s="4" t="s">
        <v>62</v>
      </c>
      <c r="B186" s="4" t="s">
        <v>193</v>
      </c>
      <c r="C186" s="56" t="s">
        <v>433</v>
      </c>
      <c r="D186" s="57"/>
      <c r="E186" s="57"/>
      <c r="F186" s="4" t="s">
        <v>629</v>
      </c>
      <c r="G186" s="15">
        <v>76</v>
      </c>
      <c r="H186" s="15">
        <v>0</v>
      </c>
      <c r="I186" s="15">
        <f>G186*AO186</f>
        <v>0</v>
      </c>
      <c r="J186" s="15">
        <f>G186*AP186</f>
        <v>0</v>
      </c>
      <c r="K186" s="15">
        <f>G186*H186</f>
        <v>0</v>
      </c>
      <c r="L186" s="27" t="s">
        <v>648</v>
      </c>
      <c r="Z186" s="32">
        <f>IF(AQ186="5",BJ186,0)</f>
        <v>0</v>
      </c>
      <c r="AB186" s="32">
        <f>IF(AQ186="1",BH186,0)</f>
        <v>0</v>
      </c>
      <c r="AC186" s="32">
        <f>IF(AQ186="1",BI186,0)</f>
        <v>0</v>
      </c>
      <c r="AD186" s="32">
        <f>IF(AQ186="7",BH186,0)</f>
        <v>0</v>
      </c>
      <c r="AE186" s="32">
        <f>IF(AQ186="7",BI186,0)</f>
        <v>0</v>
      </c>
      <c r="AF186" s="32">
        <f>IF(AQ186="2",BH186,0)</f>
        <v>0</v>
      </c>
      <c r="AG186" s="32">
        <f>IF(AQ186="2",BI186,0)</f>
        <v>0</v>
      </c>
      <c r="AH186" s="32">
        <f>IF(AQ186="0",BJ186,0)</f>
        <v>0</v>
      </c>
      <c r="AI186" s="28"/>
      <c r="AJ186" s="15">
        <f>IF(AN186=0,K186,0)</f>
        <v>0</v>
      </c>
      <c r="AK186" s="15">
        <f>IF(AN186=15,K186,0)</f>
        <v>0</v>
      </c>
      <c r="AL186" s="15">
        <f>IF(AN186=21,K186,0)</f>
        <v>0</v>
      </c>
      <c r="AN186" s="32">
        <v>21</v>
      </c>
      <c r="AO186" s="32">
        <f>H186*0</f>
        <v>0</v>
      </c>
      <c r="AP186" s="32">
        <f>H186*(1-0)</f>
        <v>0</v>
      </c>
      <c r="AQ186" s="27" t="s">
        <v>13</v>
      </c>
      <c r="AV186" s="32">
        <f>AW186+AX186</f>
        <v>0</v>
      </c>
      <c r="AW186" s="32">
        <f>G186*AO186</f>
        <v>0</v>
      </c>
      <c r="AX186" s="32">
        <f>G186*AP186</f>
        <v>0</v>
      </c>
      <c r="AY186" s="33" t="s">
        <v>672</v>
      </c>
      <c r="AZ186" s="33" t="s">
        <v>688</v>
      </c>
      <c r="BA186" s="28" t="s">
        <v>692</v>
      </c>
      <c r="BC186" s="32">
        <f>AW186+AX186</f>
        <v>0</v>
      </c>
      <c r="BD186" s="32">
        <f>H186/(100-BE186)*100</f>
        <v>0</v>
      </c>
      <c r="BE186" s="32">
        <v>0</v>
      </c>
      <c r="BF186" s="32">
        <f>184</f>
        <v>184</v>
      </c>
      <c r="BH186" s="15">
        <f>G186*AO186</f>
        <v>0</v>
      </c>
      <c r="BI186" s="15">
        <f>G186*AP186</f>
        <v>0</v>
      </c>
      <c r="BJ186" s="15">
        <f>G186*H186</f>
        <v>0</v>
      </c>
    </row>
    <row r="187" spans="1:62" x14ac:dyDescent="0.2">
      <c r="C187" s="58" t="s">
        <v>434</v>
      </c>
      <c r="D187" s="59"/>
      <c r="E187" s="59"/>
      <c r="G187" s="16">
        <v>61</v>
      </c>
    </row>
    <row r="188" spans="1:62" x14ac:dyDescent="0.2">
      <c r="C188" s="58" t="s">
        <v>435</v>
      </c>
      <c r="D188" s="59"/>
      <c r="E188" s="59"/>
      <c r="G188" s="16">
        <v>14</v>
      </c>
    </row>
    <row r="189" spans="1:62" x14ac:dyDescent="0.2">
      <c r="C189" s="58" t="s">
        <v>436</v>
      </c>
      <c r="D189" s="59"/>
      <c r="E189" s="59"/>
      <c r="G189" s="16">
        <v>1</v>
      </c>
    </row>
    <row r="190" spans="1:62" x14ac:dyDescent="0.2">
      <c r="A190" s="6" t="s">
        <v>63</v>
      </c>
      <c r="B190" s="6" t="s">
        <v>194</v>
      </c>
      <c r="C190" s="68" t="s">
        <v>437</v>
      </c>
      <c r="D190" s="69"/>
      <c r="E190" s="69"/>
      <c r="F190" s="6" t="s">
        <v>629</v>
      </c>
      <c r="G190" s="17">
        <v>61</v>
      </c>
      <c r="H190" s="17">
        <v>0</v>
      </c>
      <c r="I190" s="17">
        <f>G190*AO190</f>
        <v>0</v>
      </c>
      <c r="J190" s="17">
        <f>G190*AP190</f>
        <v>0</v>
      </c>
      <c r="K190" s="17">
        <f>G190*H190</f>
        <v>0</v>
      </c>
      <c r="L190" s="29" t="s">
        <v>648</v>
      </c>
      <c r="Z190" s="32">
        <f>IF(AQ190="5",BJ190,0)</f>
        <v>0</v>
      </c>
      <c r="AB190" s="32">
        <f>IF(AQ190="1",BH190,0)</f>
        <v>0</v>
      </c>
      <c r="AC190" s="32">
        <f>IF(AQ190="1",BI190,0)</f>
        <v>0</v>
      </c>
      <c r="AD190" s="32">
        <f>IF(AQ190="7",BH190,0)</f>
        <v>0</v>
      </c>
      <c r="AE190" s="32">
        <f>IF(AQ190="7",BI190,0)</f>
        <v>0</v>
      </c>
      <c r="AF190" s="32">
        <f>IF(AQ190="2",BH190,0)</f>
        <v>0</v>
      </c>
      <c r="AG190" s="32">
        <f>IF(AQ190="2",BI190,0)</f>
        <v>0</v>
      </c>
      <c r="AH190" s="32">
        <f>IF(AQ190="0",BJ190,0)</f>
        <v>0</v>
      </c>
      <c r="AI190" s="28"/>
      <c r="AJ190" s="17">
        <f>IF(AN190=0,K190,0)</f>
        <v>0</v>
      </c>
      <c r="AK190" s="17">
        <f>IF(AN190=15,K190,0)</f>
        <v>0</v>
      </c>
      <c r="AL190" s="17">
        <f>IF(AN190=21,K190,0)</f>
        <v>0</v>
      </c>
      <c r="AN190" s="32">
        <v>21</v>
      </c>
      <c r="AO190" s="32">
        <f>H190*1</f>
        <v>0</v>
      </c>
      <c r="AP190" s="32">
        <f>H190*(1-1)</f>
        <v>0</v>
      </c>
      <c r="AQ190" s="29" t="s">
        <v>13</v>
      </c>
      <c r="AV190" s="32">
        <f>AW190+AX190</f>
        <v>0</v>
      </c>
      <c r="AW190" s="32">
        <f>G190*AO190</f>
        <v>0</v>
      </c>
      <c r="AX190" s="32">
        <f>G190*AP190</f>
        <v>0</v>
      </c>
      <c r="AY190" s="33" t="s">
        <v>672</v>
      </c>
      <c r="AZ190" s="33" t="s">
        <v>688</v>
      </c>
      <c r="BA190" s="28" t="s">
        <v>692</v>
      </c>
      <c r="BC190" s="32">
        <f>AW190+AX190</f>
        <v>0</v>
      </c>
      <c r="BD190" s="32">
        <f>H190/(100-BE190)*100</f>
        <v>0</v>
      </c>
      <c r="BE190" s="32">
        <v>0</v>
      </c>
      <c r="BF190" s="32">
        <f>188</f>
        <v>188</v>
      </c>
      <c r="BH190" s="17">
        <f>G190*AO190</f>
        <v>0</v>
      </c>
      <c r="BI190" s="17">
        <f>G190*AP190</f>
        <v>0</v>
      </c>
      <c r="BJ190" s="17">
        <f>G190*H190</f>
        <v>0</v>
      </c>
    </row>
    <row r="191" spans="1:62" x14ac:dyDescent="0.2">
      <c r="C191" s="58" t="s">
        <v>438</v>
      </c>
      <c r="D191" s="59"/>
      <c r="E191" s="59"/>
      <c r="G191" s="16">
        <v>61</v>
      </c>
    </row>
    <row r="192" spans="1:62" x14ac:dyDescent="0.2">
      <c r="A192" s="6" t="s">
        <v>64</v>
      </c>
      <c r="B192" s="6" t="s">
        <v>195</v>
      </c>
      <c r="C192" s="68" t="s">
        <v>439</v>
      </c>
      <c r="D192" s="69"/>
      <c r="E192" s="69"/>
      <c r="F192" s="6" t="s">
        <v>629</v>
      </c>
      <c r="G192" s="17">
        <v>14</v>
      </c>
      <c r="H192" s="17">
        <v>0</v>
      </c>
      <c r="I192" s="17">
        <f>G192*AO192</f>
        <v>0</v>
      </c>
      <c r="J192" s="17">
        <f>G192*AP192</f>
        <v>0</v>
      </c>
      <c r="K192" s="17">
        <f>G192*H192</f>
        <v>0</v>
      </c>
      <c r="L192" s="29" t="s">
        <v>648</v>
      </c>
      <c r="Z192" s="32">
        <f>IF(AQ192="5",BJ192,0)</f>
        <v>0</v>
      </c>
      <c r="AB192" s="32">
        <f>IF(AQ192="1",BH192,0)</f>
        <v>0</v>
      </c>
      <c r="AC192" s="32">
        <f>IF(AQ192="1",BI192,0)</f>
        <v>0</v>
      </c>
      <c r="AD192" s="32">
        <f>IF(AQ192="7",BH192,0)</f>
        <v>0</v>
      </c>
      <c r="AE192" s="32">
        <f>IF(AQ192="7",BI192,0)</f>
        <v>0</v>
      </c>
      <c r="AF192" s="32">
        <f>IF(AQ192="2",BH192,0)</f>
        <v>0</v>
      </c>
      <c r="AG192" s="32">
        <f>IF(AQ192="2",BI192,0)</f>
        <v>0</v>
      </c>
      <c r="AH192" s="32">
        <f>IF(AQ192="0",BJ192,0)</f>
        <v>0</v>
      </c>
      <c r="AI192" s="28"/>
      <c r="AJ192" s="17">
        <f>IF(AN192=0,K192,0)</f>
        <v>0</v>
      </c>
      <c r="AK192" s="17">
        <f>IF(AN192=15,K192,0)</f>
        <v>0</v>
      </c>
      <c r="AL192" s="17">
        <f>IF(AN192=21,K192,0)</f>
        <v>0</v>
      </c>
      <c r="AN192" s="32">
        <v>21</v>
      </c>
      <c r="AO192" s="32">
        <f>H192*1</f>
        <v>0</v>
      </c>
      <c r="AP192" s="32">
        <f>H192*(1-1)</f>
        <v>0</v>
      </c>
      <c r="AQ192" s="29" t="s">
        <v>13</v>
      </c>
      <c r="AV192" s="32">
        <f>AW192+AX192</f>
        <v>0</v>
      </c>
      <c r="AW192" s="32">
        <f>G192*AO192</f>
        <v>0</v>
      </c>
      <c r="AX192" s="32">
        <f>G192*AP192</f>
        <v>0</v>
      </c>
      <c r="AY192" s="33" t="s">
        <v>672</v>
      </c>
      <c r="AZ192" s="33" t="s">
        <v>688</v>
      </c>
      <c r="BA192" s="28" t="s">
        <v>692</v>
      </c>
      <c r="BC192" s="32">
        <f>AW192+AX192</f>
        <v>0</v>
      </c>
      <c r="BD192" s="32">
        <f>H192/(100-BE192)*100</f>
        <v>0</v>
      </c>
      <c r="BE192" s="32">
        <v>0</v>
      </c>
      <c r="BF192" s="32">
        <f>190</f>
        <v>190</v>
      </c>
      <c r="BH192" s="17">
        <f>G192*AO192</f>
        <v>0</v>
      </c>
      <c r="BI192" s="17">
        <f>G192*AP192</f>
        <v>0</v>
      </c>
      <c r="BJ192" s="17">
        <f>G192*H192</f>
        <v>0</v>
      </c>
    </row>
    <row r="193" spans="1:62" x14ac:dyDescent="0.2">
      <c r="C193" s="58" t="s">
        <v>435</v>
      </c>
      <c r="D193" s="59"/>
      <c r="E193" s="59"/>
      <c r="G193" s="16">
        <v>14</v>
      </c>
    </row>
    <row r="194" spans="1:62" x14ac:dyDescent="0.2">
      <c r="A194" s="6" t="s">
        <v>65</v>
      </c>
      <c r="B194" s="6" t="s">
        <v>196</v>
      </c>
      <c r="C194" s="68" t="s">
        <v>440</v>
      </c>
      <c r="D194" s="69"/>
      <c r="E194" s="69"/>
      <c r="F194" s="6" t="s">
        <v>629</v>
      </c>
      <c r="G194" s="17">
        <v>1</v>
      </c>
      <c r="H194" s="17">
        <v>0</v>
      </c>
      <c r="I194" s="17">
        <f>G194*AO194</f>
        <v>0</v>
      </c>
      <c r="J194" s="17">
        <f>G194*AP194</f>
        <v>0</v>
      </c>
      <c r="K194" s="17">
        <f>G194*H194</f>
        <v>0</v>
      </c>
      <c r="L194" s="29" t="s">
        <v>648</v>
      </c>
      <c r="Z194" s="32">
        <f>IF(AQ194="5",BJ194,0)</f>
        <v>0</v>
      </c>
      <c r="AB194" s="32">
        <f>IF(AQ194="1",BH194,0)</f>
        <v>0</v>
      </c>
      <c r="AC194" s="32">
        <f>IF(AQ194="1",BI194,0)</f>
        <v>0</v>
      </c>
      <c r="AD194" s="32">
        <f>IF(AQ194="7",BH194,0)</f>
        <v>0</v>
      </c>
      <c r="AE194" s="32">
        <f>IF(AQ194="7",BI194,0)</f>
        <v>0</v>
      </c>
      <c r="AF194" s="32">
        <f>IF(AQ194="2",BH194,0)</f>
        <v>0</v>
      </c>
      <c r="AG194" s="32">
        <f>IF(AQ194="2",BI194,0)</f>
        <v>0</v>
      </c>
      <c r="AH194" s="32">
        <f>IF(AQ194="0",BJ194,0)</f>
        <v>0</v>
      </c>
      <c r="AI194" s="28"/>
      <c r="AJ194" s="17">
        <f>IF(AN194=0,K194,0)</f>
        <v>0</v>
      </c>
      <c r="AK194" s="17">
        <f>IF(AN194=15,K194,0)</f>
        <v>0</v>
      </c>
      <c r="AL194" s="17">
        <f>IF(AN194=21,K194,0)</f>
        <v>0</v>
      </c>
      <c r="AN194" s="32">
        <v>21</v>
      </c>
      <c r="AO194" s="32">
        <f>H194*1</f>
        <v>0</v>
      </c>
      <c r="AP194" s="32">
        <f>H194*(1-1)</f>
        <v>0</v>
      </c>
      <c r="AQ194" s="29" t="s">
        <v>13</v>
      </c>
      <c r="AV194" s="32">
        <f>AW194+AX194</f>
        <v>0</v>
      </c>
      <c r="AW194" s="32">
        <f>G194*AO194</f>
        <v>0</v>
      </c>
      <c r="AX194" s="32">
        <f>G194*AP194</f>
        <v>0</v>
      </c>
      <c r="AY194" s="33" t="s">
        <v>672</v>
      </c>
      <c r="AZ194" s="33" t="s">
        <v>688</v>
      </c>
      <c r="BA194" s="28" t="s">
        <v>692</v>
      </c>
      <c r="BC194" s="32">
        <f>AW194+AX194</f>
        <v>0</v>
      </c>
      <c r="BD194" s="32">
        <f>H194/(100-BE194)*100</f>
        <v>0</v>
      </c>
      <c r="BE194" s="32">
        <v>0</v>
      </c>
      <c r="BF194" s="32">
        <f>192</f>
        <v>192</v>
      </c>
      <c r="BH194" s="17">
        <f>G194*AO194</f>
        <v>0</v>
      </c>
      <c r="BI194" s="17">
        <f>G194*AP194</f>
        <v>0</v>
      </c>
      <c r="BJ194" s="17">
        <f>G194*H194</f>
        <v>0</v>
      </c>
    </row>
    <row r="195" spans="1:62" x14ac:dyDescent="0.2">
      <c r="C195" s="58" t="s">
        <v>436</v>
      </c>
      <c r="D195" s="59"/>
      <c r="E195" s="59"/>
      <c r="G195" s="16">
        <v>1</v>
      </c>
    </row>
    <row r="196" spans="1:62" x14ac:dyDescent="0.2">
      <c r="A196" s="4" t="s">
        <v>66</v>
      </c>
      <c r="B196" s="4" t="s">
        <v>197</v>
      </c>
      <c r="C196" s="56" t="s">
        <v>441</v>
      </c>
      <c r="D196" s="57"/>
      <c r="E196" s="57"/>
      <c r="F196" s="4" t="s">
        <v>630</v>
      </c>
      <c r="G196" s="15">
        <v>3.3050000000000003E-2</v>
      </c>
      <c r="H196" s="15">
        <v>0</v>
      </c>
      <c r="I196" s="15">
        <f>G196*AO196</f>
        <v>0</v>
      </c>
      <c r="J196" s="15">
        <f>G196*AP196</f>
        <v>0</v>
      </c>
      <c r="K196" s="15">
        <f>G196*H196</f>
        <v>0</v>
      </c>
      <c r="L196" s="27" t="s">
        <v>648</v>
      </c>
      <c r="Z196" s="32">
        <f>IF(AQ196="5",BJ196,0)</f>
        <v>0</v>
      </c>
      <c r="AB196" s="32">
        <f>IF(AQ196="1",BH196,0)</f>
        <v>0</v>
      </c>
      <c r="AC196" s="32">
        <f>IF(AQ196="1",BI196,0)</f>
        <v>0</v>
      </c>
      <c r="AD196" s="32">
        <f>IF(AQ196="7",BH196,0)</f>
        <v>0</v>
      </c>
      <c r="AE196" s="32">
        <f>IF(AQ196="7",BI196,0)</f>
        <v>0</v>
      </c>
      <c r="AF196" s="32">
        <f>IF(AQ196="2",BH196,0)</f>
        <v>0</v>
      </c>
      <c r="AG196" s="32">
        <f>IF(AQ196="2",BI196,0)</f>
        <v>0</v>
      </c>
      <c r="AH196" s="32">
        <f>IF(AQ196="0",BJ196,0)</f>
        <v>0</v>
      </c>
      <c r="AI196" s="28"/>
      <c r="AJ196" s="15">
        <f>IF(AN196=0,K196,0)</f>
        <v>0</v>
      </c>
      <c r="AK196" s="15">
        <f>IF(AN196=15,K196,0)</f>
        <v>0</v>
      </c>
      <c r="AL196" s="15">
        <f>IF(AN196=21,K196,0)</f>
        <v>0</v>
      </c>
      <c r="AN196" s="32">
        <v>21</v>
      </c>
      <c r="AO196" s="32">
        <f>H196*0</f>
        <v>0</v>
      </c>
      <c r="AP196" s="32">
        <f>H196*(1-0)</f>
        <v>0</v>
      </c>
      <c r="AQ196" s="27" t="s">
        <v>11</v>
      </c>
      <c r="AV196" s="32">
        <f>AW196+AX196</f>
        <v>0</v>
      </c>
      <c r="AW196" s="32">
        <f>G196*AO196</f>
        <v>0</v>
      </c>
      <c r="AX196" s="32">
        <f>G196*AP196</f>
        <v>0</v>
      </c>
      <c r="AY196" s="33" t="s">
        <v>672</v>
      </c>
      <c r="AZ196" s="33" t="s">
        <v>688</v>
      </c>
      <c r="BA196" s="28" t="s">
        <v>692</v>
      </c>
      <c r="BC196" s="32">
        <f>AW196+AX196</f>
        <v>0</v>
      </c>
      <c r="BD196" s="32">
        <f>H196/(100-BE196)*100</f>
        <v>0</v>
      </c>
      <c r="BE196" s="32">
        <v>0</v>
      </c>
      <c r="BF196" s="32">
        <f>194</f>
        <v>194</v>
      </c>
      <c r="BH196" s="15">
        <f>G196*AO196</f>
        <v>0</v>
      </c>
      <c r="BI196" s="15">
        <f>G196*AP196</f>
        <v>0</v>
      </c>
      <c r="BJ196" s="15">
        <f>G196*H196</f>
        <v>0</v>
      </c>
    </row>
    <row r="197" spans="1:62" x14ac:dyDescent="0.2">
      <c r="C197" s="58" t="s">
        <v>442</v>
      </c>
      <c r="D197" s="59"/>
      <c r="E197" s="59"/>
      <c r="G197" s="16">
        <v>3.3050000000000003E-2</v>
      </c>
    </row>
    <row r="198" spans="1:62" x14ac:dyDescent="0.2">
      <c r="A198" s="5"/>
      <c r="B198" s="13" t="s">
        <v>198</v>
      </c>
      <c r="C198" s="66" t="s">
        <v>443</v>
      </c>
      <c r="D198" s="67"/>
      <c r="E198" s="67"/>
      <c r="F198" s="5" t="s">
        <v>6</v>
      </c>
      <c r="G198" s="5" t="s">
        <v>6</v>
      </c>
      <c r="H198" s="5" t="s">
        <v>6</v>
      </c>
      <c r="I198" s="35">
        <f>SUM(I199:I203)</f>
        <v>0</v>
      </c>
      <c r="J198" s="35">
        <f>SUM(J199:J203)</f>
        <v>0</v>
      </c>
      <c r="K198" s="35">
        <f>SUM(K199:K203)</f>
        <v>0</v>
      </c>
      <c r="L198" s="28"/>
      <c r="AI198" s="28"/>
      <c r="AS198" s="35">
        <f>SUM(AJ199:AJ203)</f>
        <v>0</v>
      </c>
      <c r="AT198" s="35">
        <f>SUM(AK199:AK203)</f>
        <v>0</v>
      </c>
      <c r="AU198" s="35">
        <f>SUM(AL199:AL203)</f>
        <v>0</v>
      </c>
    </row>
    <row r="199" spans="1:62" x14ac:dyDescent="0.2">
      <c r="A199" s="4" t="s">
        <v>67</v>
      </c>
      <c r="B199" s="4" t="s">
        <v>199</v>
      </c>
      <c r="C199" s="56" t="s">
        <v>444</v>
      </c>
      <c r="D199" s="57"/>
      <c r="E199" s="57"/>
      <c r="F199" s="4" t="s">
        <v>625</v>
      </c>
      <c r="G199" s="15">
        <v>95</v>
      </c>
      <c r="H199" s="15">
        <v>0</v>
      </c>
      <c r="I199" s="15">
        <f>G199*AO199</f>
        <v>0</v>
      </c>
      <c r="J199" s="15">
        <f>G199*AP199</f>
        <v>0</v>
      </c>
      <c r="K199" s="15">
        <f>G199*H199</f>
        <v>0</v>
      </c>
      <c r="L199" s="27" t="s">
        <v>648</v>
      </c>
      <c r="Z199" s="32">
        <f>IF(AQ199="5",BJ199,0)</f>
        <v>0</v>
      </c>
      <c r="AB199" s="32">
        <f>IF(AQ199="1",BH199,0)</f>
        <v>0</v>
      </c>
      <c r="AC199" s="32">
        <f>IF(AQ199="1",BI199,0)</f>
        <v>0</v>
      </c>
      <c r="AD199" s="32">
        <f>IF(AQ199="7",BH199,0)</f>
        <v>0</v>
      </c>
      <c r="AE199" s="32">
        <f>IF(AQ199="7",BI199,0)</f>
        <v>0</v>
      </c>
      <c r="AF199" s="32">
        <f>IF(AQ199="2",BH199,0)</f>
        <v>0</v>
      </c>
      <c r="AG199" s="32">
        <f>IF(AQ199="2",BI199,0)</f>
        <v>0</v>
      </c>
      <c r="AH199" s="32">
        <f>IF(AQ199="0",BJ199,0)</f>
        <v>0</v>
      </c>
      <c r="AI199" s="28"/>
      <c r="AJ199" s="15">
        <f>IF(AN199=0,K199,0)</f>
        <v>0</v>
      </c>
      <c r="AK199" s="15">
        <f>IF(AN199=15,K199,0)</f>
        <v>0</v>
      </c>
      <c r="AL199" s="15">
        <f>IF(AN199=21,K199,0)</f>
        <v>0</v>
      </c>
      <c r="AN199" s="32">
        <v>21</v>
      </c>
      <c r="AO199" s="32">
        <f>H199*0.00829090909090909</f>
        <v>0</v>
      </c>
      <c r="AP199" s="32">
        <f>H199*(1-0.00829090909090909)</f>
        <v>0</v>
      </c>
      <c r="AQ199" s="27" t="s">
        <v>13</v>
      </c>
      <c r="AV199" s="32">
        <f>AW199+AX199</f>
        <v>0</v>
      </c>
      <c r="AW199" s="32">
        <f>G199*AO199</f>
        <v>0</v>
      </c>
      <c r="AX199" s="32">
        <f>G199*AP199</f>
        <v>0</v>
      </c>
      <c r="AY199" s="33" t="s">
        <v>673</v>
      </c>
      <c r="AZ199" s="33" t="s">
        <v>689</v>
      </c>
      <c r="BA199" s="28" t="s">
        <v>692</v>
      </c>
      <c r="BC199" s="32">
        <f>AW199+AX199</f>
        <v>0</v>
      </c>
      <c r="BD199" s="32">
        <f>H199/(100-BE199)*100</f>
        <v>0</v>
      </c>
      <c r="BE199" s="32">
        <v>0</v>
      </c>
      <c r="BF199" s="32">
        <f>197</f>
        <v>197</v>
      </c>
      <c r="BH199" s="15">
        <f>G199*AO199</f>
        <v>0</v>
      </c>
      <c r="BI199" s="15">
        <f>G199*AP199</f>
        <v>0</v>
      </c>
      <c r="BJ199" s="15">
        <f>G199*H199</f>
        <v>0</v>
      </c>
    </row>
    <row r="200" spans="1:62" x14ac:dyDescent="0.2">
      <c r="C200" s="58" t="s">
        <v>445</v>
      </c>
      <c r="D200" s="59"/>
      <c r="E200" s="59"/>
      <c r="G200" s="16">
        <v>95</v>
      </c>
    </row>
    <row r="201" spans="1:62" x14ac:dyDescent="0.2">
      <c r="A201" s="6" t="s">
        <v>68</v>
      </c>
      <c r="B201" s="6" t="s">
        <v>200</v>
      </c>
      <c r="C201" s="68" t="s">
        <v>446</v>
      </c>
      <c r="D201" s="69"/>
      <c r="E201" s="69"/>
      <c r="F201" s="6" t="s">
        <v>625</v>
      </c>
      <c r="G201" s="17">
        <v>104.5</v>
      </c>
      <c r="H201" s="17">
        <v>0</v>
      </c>
      <c r="I201" s="17">
        <f>G201*AO201</f>
        <v>0</v>
      </c>
      <c r="J201" s="17">
        <f>G201*AP201</f>
        <v>0</v>
      </c>
      <c r="K201" s="17">
        <f>G201*H201</f>
        <v>0</v>
      </c>
      <c r="L201" s="29" t="s">
        <v>648</v>
      </c>
      <c r="Z201" s="32">
        <f>IF(AQ201="5",BJ201,0)</f>
        <v>0</v>
      </c>
      <c r="AB201" s="32">
        <f>IF(AQ201="1",BH201,0)</f>
        <v>0</v>
      </c>
      <c r="AC201" s="32">
        <f>IF(AQ201="1",BI201,0)</f>
        <v>0</v>
      </c>
      <c r="AD201" s="32">
        <f>IF(AQ201="7",BH201,0)</f>
        <v>0</v>
      </c>
      <c r="AE201" s="32">
        <f>IF(AQ201="7",BI201,0)</f>
        <v>0</v>
      </c>
      <c r="AF201" s="32">
        <f>IF(AQ201="2",BH201,0)</f>
        <v>0</v>
      </c>
      <c r="AG201" s="32">
        <f>IF(AQ201="2",BI201,0)</f>
        <v>0</v>
      </c>
      <c r="AH201" s="32">
        <f>IF(AQ201="0",BJ201,0)</f>
        <v>0</v>
      </c>
      <c r="AI201" s="28"/>
      <c r="AJ201" s="17">
        <f>IF(AN201=0,K201,0)</f>
        <v>0</v>
      </c>
      <c r="AK201" s="17">
        <f>IF(AN201=15,K201,0)</f>
        <v>0</v>
      </c>
      <c r="AL201" s="17">
        <f>IF(AN201=21,K201,0)</f>
        <v>0</v>
      </c>
      <c r="AN201" s="32">
        <v>21</v>
      </c>
      <c r="AO201" s="32">
        <f>H201*1</f>
        <v>0</v>
      </c>
      <c r="AP201" s="32">
        <f>H201*(1-1)</f>
        <v>0</v>
      </c>
      <c r="AQ201" s="29" t="s">
        <v>13</v>
      </c>
      <c r="AV201" s="32">
        <f>AW201+AX201</f>
        <v>0</v>
      </c>
      <c r="AW201" s="32">
        <f>G201*AO201</f>
        <v>0</v>
      </c>
      <c r="AX201" s="32">
        <f>G201*AP201</f>
        <v>0</v>
      </c>
      <c r="AY201" s="33" t="s">
        <v>673</v>
      </c>
      <c r="AZ201" s="33" t="s">
        <v>689</v>
      </c>
      <c r="BA201" s="28" t="s">
        <v>692</v>
      </c>
      <c r="BC201" s="32">
        <f>AW201+AX201</f>
        <v>0</v>
      </c>
      <c r="BD201" s="32">
        <f>H201/(100-BE201)*100</f>
        <v>0</v>
      </c>
      <c r="BE201" s="32">
        <v>0</v>
      </c>
      <c r="BF201" s="32">
        <f>199</f>
        <v>199</v>
      </c>
      <c r="BH201" s="17">
        <f>G201*AO201</f>
        <v>0</v>
      </c>
      <c r="BI201" s="17">
        <f>G201*AP201</f>
        <v>0</v>
      </c>
      <c r="BJ201" s="17">
        <f>G201*H201</f>
        <v>0</v>
      </c>
    </row>
    <row r="202" spans="1:62" x14ac:dyDescent="0.2">
      <c r="C202" s="58" t="s">
        <v>447</v>
      </c>
      <c r="D202" s="59"/>
      <c r="E202" s="59"/>
      <c r="G202" s="16">
        <v>104.5</v>
      </c>
    </row>
    <row r="203" spans="1:62" x14ac:dyDescent="0.2">
      <c r="A203" s="4" t="s">
        <v>69</v>
      </c>
      <c r="B203" s="4" t="s">
        <v>201</v>
      </c>
      <c r="C203" s="56" t="s">
        <v>448</v>
      </c>
      <c r="D203" s="57"/>
      <c r="E203" s="57"/>
      <c r="F203" s="4" t="s">
        <v>630</v>
      </c>
      <c r="G203" s="15">
        <v>1.5399499999999999</v>
      </c>
      <c r="H203" s="15">
        <v>0</v>
      </c>
      <c r="I203" s="15">
        <f>G203*AO203</f>
        <v>0</v>
      </c>
      <c r="J203" s="15">
        <f>G203*AP203</f>
        <v>0</v>
      </c>
      <c r="K203" s="15">
        <f>G203*H203</f>
        <v>0</v>
      </c>
      <c r="L203" s="27" t="s">
        <v>648</v>
      </c>
      <c r="Z203" s="32">
        <f>IF(AQ203="5",BJ203,0)</f>
        <v>0</v>
      </c>
      <c r="AB203" s="32">
        <f>IF(AQ203="1",BH203,0)</f>
        <v>0</v>
      </c>
      <c r="AC203" s="32">
        <f>IF(AQ203="1",BI203,0)</f>
        <v>0</v>
      </c>
      <c r="AD203" s="32">
        <f>IF(AQ203="7",BH203,0)</f>
        <v>0</v>
      </c>
      <c r="AE203" s="32">
        <f>IF(AQ203="7",BI203,0)</f>
        <v>0</v>
      </c>
      <c r="AF203" s="32">
        <f>IF(AQ203="2",BH203,0)</f>
        <v>0</v>
      </c>
      <c r="AG203" s="32">
        <f>IF(AQ203="2",BI203,0)</f>
        <v>0</v>
      </c>
      <c r="AH203" s="32">
        <f>IF(AQ203="0",BJ203,0)</f>
        <v>0</v>
      </c>
      <c r="AI203" s="28"/>
      <c r="AJ203" s="15">
        <f>IF(AN203=0,K203,0)</f>
        <v>0</v>
      </c>
      <c r="AK203" s="15">
        <f>IF(AN203=15,K203,0)</f>
        <v>0</v>
      </c>
      <c r="AL203" s="15">
        <f>IF(AN203=21,K203,0)</f>
        <v>0</v>
      </c>
      <c r="AN203" s="32">
        <v>21</v>
      </c>
      <c r="AO203" s="32">
        <f>H203*0</f>
        <v>0</v>
      </c>
      <c r="AP203" s="32">
        <f>H203*(1-0)</f>
        <v>0</v>
      </c>
      <c r="AQ203" s="27" t="s">
        <v>11</v>
      </c>
      <c r="AV203" s="32">
        <f>AW203+AX203</f>
        <v>0</v>
      </c>
      <c r="AW203" s="32">
        <f>G203*AO203</f>
        <v>0</v>
      </c>
      <c r="AX203" s="32">
        <f>G203*AP203</f>
        <v>0</v>
      </c>
      <c r="AY203" s="33" t="s">
        <v>673</v>
      </c>
      <c r="AZ203" s="33" t="s">
        <v>689</v>
      </c>
      <c r="BA203" s="28" t="s">
        <v>692</v>
      </c>
      <c r="BC203" s="32">
        <f>AW203+AX203</f>
        <v>0</v>
      </c>
      <c r="BD203" s="32">
        <f>H203/(100-BE203)*100</f>
        <v>0</v>
      </c>
      <c r="BE203" s="32">
        <v>0</v>
      </c>
      <c r="BF203" s="32">
        <f>201</f>
        <v>201</v>
      </c>
      <c r="BH203" s="15">
        <f>G203*AO203</f>
        <v>0</v>
      </c>
      <c r="BI203" s="15">
        <f>G203*AP203</f>
        <v>0</v>
      </c>
      <c r="BJ203" s="15">
        <f>G203*H203</f>
        <v>0</v>
      </c>
    </row>
    <row r="204" spans="1:62" x14ac:dyDescent="0.2">
      <c r="C204" s="58" t="s">
        <v>449</v>
      </c>
      <c r="D204" s="59"/>
      <c r="E204" s="59"/>
      <c r="G204" s="16">
        <v>1.5399499999999999</v>
      </c>
    </row>
    <row r="205" spans="1:62" x14ac:dyDescent="0.2">
      <c r="A205" s="5"/>
      <c r="B205" s="13" t="s">
        <v>202</v>
      </c>
      <c r="C205" s="66" t="s">
        <v>450</v>
      </c>
      <c r="D205" s="67"/>
      <c r="E205" s="67"/>
      <c r="F205" s="5" t="s">
        <v>6</v>
      </c>
      <c r="G205" s="5" t="s">
        <v>6</v>
      </c>
      <c r="H205" s="5" t="s">
        <v>6</v>
      </c>
      <c r="I205" s="35">
        <f>SUM(I206:I226)</f>
        <v>0</v>
      </c>
      <c r="J205" s="35">
        <f>SUM(J206:J226)</f>
        <v>0</v>
      </c>
      <c r="K205" s="35">
        <f>SUM(K206:K226)</f>
        <v>0</v>
      </c>
      <c r="L205" s="28"/>
      <c r="AI205" s="28"/>
      <c r="AS205" s="35">
        <f>SUM(AJ206:AJ226)</f>
        <v>0</v>
      </c>
      <c r="AT205" s="35">
        <f>SUM(AK206:AK226)</f>
        <v>0</v>
      </c>
      <c r="AU205" s="35">
        <f>SUM(AL206:AL226)</f>
        <v>0</v>
      </c>
    </row>
    <row r="206" spans="1:62" x14ac:dyDescent="0.2">
      <c r="A206" s="4" t="s">
        <v>70</v>
      </c>
      <c r="B206" s="4" t="s">
        <v>203</v>
      </c>
      <c r="C206" s="56" t="s">
        <v>451</v>
      </c>
      <c r="D206" s="57"/>
      <c r="E206" s="57"/>
      <c r="F206" s="4" t="s">
        <v>628</v>
      </c>
      <c r="G206" s="15">
        <v>100.12</v>
      </c>
      <c r="H206" s="15">
        <v>0</v>
      </c>
      <c r="I206" s="15">
        <f>G206*AO206</f>
        <v>0</v>
      </c>
      <c r="J206" s="15">
        <f>G206*AP206</f>
        <v>0</v>
      </c>
      <c r="K206" s="15">
        <f>G206*H206</f>
        <v>0</v>
      </c>
      <c r="L206" s="27" t="s">
        <v>648</v>
      </c>
      <c r="Z206" s="32">
        <f>IF(AQ206="5",BJ206,0)</f>
        <v>0</v>
      </c>
      <c r="AB206" s="32">
        <f>IF(AQ206="1",BH206,0)</f>
        <v>0</v>
      </c>
      <c r="AC206" s="32">
        <f>IF(AQ206="1",BI206,0)</f>
        <v>0</v>
      </c>
      <c r="AD206" s="32">
        <f>IF(AQ206="7",BH206,0)</f>
        <v>0</v>
      </c>
      <c r="AE206" s="32">
        <f>IF(AQ206="7",BI206,0)</f>
        <v>0</v>
      </c>
      <c r="AF206" s="32">
        <f>IF(AQ206="2",BH206,0)</f>
        <v>0</v>
      </c>
      <c r="AG206" s="32">
        <f>IF(AQ206="2",BI206,0)</f>
        <v>0</v>
      </c>
      <c r="AH206" s="32">
        <f>IF(AQ206="0",BJ206,0)</f>
        <v>0</v>
      </c>
      <c r="AI206" s="28"/>
      <c r="AJ206" s="15">
        <f>IF(AN206=0,K206,0)</f>
        <v>0</v>
      </c>
      <c r="AK206" s="15">
        <f>IF(AN206=15,K206,0)</f>
        <v>0</v>
      </c>
      <c r="AL206" s="15">
        <f>IF(AN206=21,K206,0)</f>
        <v>0</v>
      </c>
      <c r="AN206" s="32">
        <v>21</v>
      </c>
      <c r="AO206" s="32">
        <f>H206*0</f>
        <v>0</v>
      </c>
      <c r="AP206" s="32">
        <f>H206*(1-0)</f>
        <v>0</v>
      </c>
      <c r="AQ206" s="27" t="s">
        <v>13</v>
      </c>
      <c r="AV206" s="32">
        <f>AW206+AX206</f>
        <v>0</v>
      </c>
      <c r="AW206" s="32">
        <f>G206*AO206</f>
        <v>0</v>
      </c>
      <c r="AX206" s="32">
        <f>G206*AP206</f>
        <v>0</v>
      </c>
      <c r="AY206" s="33" t="s">
        <v>674</v>
      </c>
      <c r="AZ206" s="33" t="s">
        <v>689</v>
      </c>
      <c r="BA206" s="28" t="s">
        <v>692</v>
      </c>
      <c r="BC206" s="32">
        <f>AW206+AX206</f>
        <v>0</v>
      </c>
      <c r="BD206" s="32">
        <f>H206/(100-BE206)*100</f>
        <v>0</v>
      </c>
      <c r="BE206" s="32">
        <v>0</v>
      </c>
      <c r="BF206" s="32">
        <f>204</f>
        <v>204</v>
      </c>
      <c r="BH206" s="15">
        <f>G206*AO206</f>
        <v>0</v>
      </c>
      <c r="BI206" s="15">
        <f>G206*AP206</f>
        <v>0</v>
      </c>
      <c r="BJ206" s="15">
        <f>G206*H206</f>
        <v>0</v>
      </c>
    </row>
    <row r="207" spans="1:62" x14ac:dyDescent="0.2">
      <c r="C207" s="58" t="s">
        <v>452</v>
      </c>
      <c r="D207" s="59"/>
      <c r="E207" s="59"/>
      <c r="G207" s="16">
        <v>24</v>
      </c>
    </row>
    <row r="208" spans="1:62" x14ac:dyDescent="0.2">
      <c r="C208" s="58" t="s">
        <v>453</v>
      </c>
      <c r="D208" s="59"/>
      <c r="E208" s="59"/>
      <c r="G208" s="16">
        <v>3.6</v>
      </c>
    </row>
    <row r="209" spans="1:62" x14ac:dyDescent="0.2">
      <c r="C209" s="58" t="s">
        <v>454</v>
      </c>
      <c r="D209" s="59"/>
      <c r="E209" s="59"/>
      <c r="G209" s="16">
        <v>23.1</v>
      </c>
    </row>
    <row r="210" spans="1:62" x14ac:dyDescent="0.2">
      <c r="C210" s="58" t="s">
        <v>455</v>
      </c>
      <c r="D210" s="59"/>
      <c r="E210" s="59"/>
      <c r="G210" s="16">
        <v>3.6</v>
      </c>
    </row>
    <row r="211" spans="1:62" x14ac:dyDescent="0.2">
      <c r="C211" s="58" t="s">
        <v>456</v>
      </c>
      <c r="D211" s="59"/>
      <c r="E211" s="59"/>
      <c r="G211" s="16">
        <v>4.82</v>
      </c>
    </row>
    <row r="212" spans="1:62" x14ac:dyDescent="0.2">
      <c r="C212" s="58" t="s">
        <v>457</v>
      </c>
      <c r="D212" s="59"/>
      <c r="E212" s="59"/>
      <c r="G212" s="16">
        <v>41</v>
      </c>
    </row>
    <row r="213" spans="1:62" x14ac:dyDescent="0.2">
      <c r="A213" s="4" t="s">
        <v>71</v>
      </c>
      <c r="B213" s="4" t="s">
        <v>204</v>
      </c>
      <c r="C213" s="56" t="s">
        <v>458</v>
      </c>
      <c r="D213" s="57"/>
      <c r="E213" s="57"/>
      <c r="F213" s="4" t="s">
        <v>628</v>
      </c>
      <c r="G213" s="15">
        <v>190</v>
      </c>
      <c r="H213" s="15">
        <v>0</v>
      </c>
      <c r="I213" s="15">
        <f>G213*AO213</f>
        <v>0</v>
      </c>
      <c r="J213" s="15">
        <f>G213*AP213</f>
        <v>0</v>
      </c>
      <c r="K213" s="15">
        <f>G213*H213</f>
        <v>0</v>
      </c>
      <c r="L213" s="27" t="s">
        <v>648</v>
      </c>
      <c r="Z213" s="32">
        <f>IF(AQ213="5",BJ213,0)</f>
        <v>0</v>
      </c>
      <c r="AB213" s="32">
        <f>IF(AQ213="1",BH213,0)</f>
        <v>0</v>
      </c>
      <c r="AC213" s="32">
        <f>IF(AQ213="1",BI213,0)</f>
        <v>0</v>
      </c>
      <c r="AD213" s="32">
        <f>IF(AQ213="7",BH213,0)</f>
        <v>0</v>
      </c>
      <c r="AE213" s="32">
        <f>IF(AQ213="7",BI213,0)</f>
        <v>0</v>
      </c>
      <c r="AF213" s="32">
        <f>IF(AQ213="2",BH213,0)</f>
        <v>0</v>
      </c>
      <c r="AG213" s="32">
        <f>IF(AQ213="2",BI213,0)</f>
        <v>0</v>
      </c>
      <c r="AH213" s="32">
        <f>IF(AQ213="0",BJ213,0)</f>
        <v>0</v>
      </c>
      <c r="AI213" s="28"/>
      <c r="AJ213" s="15">
        <f>IF(AN213=0,K213,0)</f>
        <v>0</v>
      </c>
      <c r="AK213" s="15">
        <f>IF(AN213=15,K213,0)</f>
        <v>0</v>
      </c>
      <c r="AL213" s="15">
        <f>IF(AN213=21,K213,0)</f>
        <v>0</v>
      </c>
      <c r="AN213" s="32">
        <v>21</v>
      </c>
      <c r="AO213" s="32">
        <f>H213*0</f>
        <v>0</v>
      </c>
      <c r="AP213" s="32">
        <f>H213*(1-0)</f>
        <v>0</v>
      </c>
      <c r="AQ213" s="27" t="s">
        <v>13</v>
      </c>
      <c r="AV213" s="32">
        <f>AW213+AX213</f>
        <v>0</v>
      </c>
      <c r="AW213" s="32">
        <f>G213*AO213</f>
        <v>0</v>
      </c>
      <c r="AX213" s="32">
        <f>G213*AP213</f>
        <v>0</v>
      </c>
      <c r="AY213" s="33" t="s">
        <v>674</v>
      </c>
      <c r="AZ213" s="33" t="s">
        <v>689</v>
      </c>
      <c r="BA213" s="28" t="s">
        <v>692</v>
      </c>
      <c r="BC213" s="32">
        <f>AW213+AX213</f>
        <v>0</v>
      </c>
      <c r="BD213" s="32">
        <f>H213/(100-BE213)*100</f>
        <v>0</v>
      </c>
      <c r="BE213" s="32">
        <v>0</v>
      </c>
      <c r="BF213" s="32">
        <f>211</f>
        <v>211</v>
      </c>
      <c r="BH213" s="15">
        <f>G213*AO213</f>
        <v>0</v>
      </c>
      <c r="BI213" s="15">
        <f>G213*AP213</f>
        <v>0</v>
      </c>
      <c r="BJ213" s="15">
        <f>G213*H213</f>
        <v>0</v>
      </c>
    </row>
    <row r="214" spans="1:62" x14ac:dyDescent="0.2">
      <c r="C214" s="58" t="s">
        <v>459</v>
      </c>
      <c r="D214" s="59"/>
      <c r="E214" s="59"/>
      <c r="G214" s="16">
        <v>190</v>
      </c>
    </row>
    <row r="215" spans="1:62" x14ac:dyDescent="0.2">
      <c r="A215" s="4" t="s">
        <v>72</v>
      </c>
      <c r="B215" s="4" t="s">
        <v>205</v>
      </c>
      <c r="C215" s="56" t="s">
        <v>460</v>
      </c>
      <c r="D215" s="57"/>
      <c r="E215" s="57"/>
      <c r="F215" s="4" t="s">
        <v>625</v>
      </c>
      <c r="G215" s="15">
        <v>1.59</v>
      </c>
      <c r="H215" s="15">
        <v>0</v>
      </c>
      <c r="I215" s="15">
        <f>G215*AO215</f>
        <v>0</v>
      </c>
      <c r="J215" s="15">
        <f>G215*AP215</f>
        <v>0</v>
      </c>
      <c r="K215" s="15">
        <f>G215*H215</f>
        <v>0</v>
      </c>
      <c r="L215" s="27" t="s">
        <v>648</v>
      </c>
      <c r="Z215" s="32">
        <f>IF(AQ215="5",BJ215,0)</f>
        <v>0</v>
      </c>
      <c r="AB215" s="32">
        <f>IF(AQ215="1",BH215,0)</f>
        <v>0</v>
      </c>
      <c r="AC215" s="32">
        <f>IF(AQ215="1",BI215,0)</f>
        <v>0</v>
      </c>
      <c r="AD215" s="32">
        <f>IF(AQ215="7",BH215,0)</f>
        <v>0</v>
      </c>
      <c r="AE215" s="32">
        <f>IF(AQ215="7",BI215,0)</f>
        <v>0</v>
      </c>
      <c r="AF215" s="32">
        <f>IF(AQ215="2",BH215,0)</f>
        <v>0</v>
      </c>
      <c r="AG215" s="32">
        <f>IF(AQ215="2",BI215,0)</f>
        <v>0</v>
      </c>
      <c r="AH215" s="32">
        <f>IF(AQ215="0",BJ215,0)</f>
        <v>0</v>
      </c>
      <c r="AI215" s="28"/>
      <c r="AJ215" s="15">
        <f>IF(AN215=0,K215,0)</f>
        <v>0</v>
      </c>
      <c r="AK215" s="15">
        <f>IF(AN215=15,K215,0)</f>
        <v>0</v>
      </c>
      <c r="AL215" s="15">
        <f>IF(AN215=21,K215,0)</f>
        <v>0</v>
      </c>
      <c r="AN215" s="32">
        <v>21</v>
      </c>
      <c r="AO215" s="32">
        <f>H215*0</f>
        <v>0</v>
      </c>
      <c r="AP215" s="32">
        <f>H215*(1-0)</f>
        <v>0</v>
      </c>
      <c r="AQ215" s="27" t="s">
        <v>13</v>
      </c>
      <c r="AV215" s="32">
        <f>AW215+AX215</f>
        <v>0</v>
      </c>
      <c r="AW215" s="32">
        <f>G215*AO215</f>
        <v>0</v>
      </c>
      <c r="AX215" s="32">
        <f>G215*AP215</f>
        <v>0</v>
      </c>
      <c r="AY215" s="33" t="s">
        <v>674</v>
      </c>
      <c r="AZ215" s="33" t="s">
        <v>689</v>
      </c>
      <c r="BA215" s="28" t="s">
        <v>692</v>
      </c>
      <c r="BC215" s="32">
        <f>AW215+AX215</f>
        <v>0</v>
      </c>
      <c r="BD215" s="32">
        <f>H215/(100-BE215)*100</f>
        <v>0</v>
      </c>
      <c r="BE215" s="32">
        <v>0</v>
      </c>
      <c r="BF215" s="32">
        <f>213</f>
        <v>213</v>
      </c>
      <c r="BH215" s="15">
        <f>G215*AO215</f>
        <v>0</v>
      </c>
      <c r="BI215" s="15">
        <f>G215*AP215</f>
        <v>0</v>
      </c>
      <c r="BJ215" s="15">
        <f>G215*H215</f>
        <v>0</v>
      </c>
    </row>
    <row r="216" spans="1:62" x14ac:dyDescent="0.2">
      <c r="C216" s="58" t="s">
        <v>461</v>
      </c>
      <c r="D216" s="59"/>
      <c r="E216" s="59"/>
      <c r="G216" s="16">
        <v>1.59</v>
      </c>
    </row>
    <row r="217" spans="1:62" x14ac:dyDescent="0.2">
      <c r="A217" s="4" t="s">
        <v>73</v>
      </c>
      <c r="B217" s="4" t="s">
        <v>206</v>
      </c>
      <c r="C217" s="56" t="s">
        <v>462</v>
      </c>
      <c r="D217" s="57"/>
      <c r="E217" s="57"/>
      <c r="F217" s="4" t="s">
        <v>628</v>
      </c>
      <c r="G217" s="15">
        <v>100.12</v>
      </c>
      <c r="H217" s="15">
        <v>0</v>
      </c>
      <c r="I217" s="15">
        <f>G217*AO217</f>
        <v>0</v>
      </c>
      <c r="J217" s="15">
        <f>G217*AP217</f>
        <v>0</v>
      </c>
      <c r="K217" s="15">
        <f>G217*H217</f>
        <v>0</v>
      </c>
      <c r="L217" s="27" t="s">
        <v>648</v>
      </c>
      <c r="Z217" s="32">
        <f>IF(AQ217="5",BJ217,0)</f>
        <v>0</v>
      </c>
      <c r="AB217" s="32">
        <f>IF(AQ217="1",BH217,0)</f>
        <v>0</v>
      </c>
      <c r="AC217" s="32">
        <f>IF(AQ217="1",BI217,0)</f>
        <v>0</v>
      </c>
      <c r="AD217" s="32">
        <f>IF(AQ217="7",BH217,0)</f>
        <v>0</v>
      </c>
      <c r="AE217" s="32">
        <f>IF(AQ217="7",BI217,0)</f>
        <v>0</v>
      </c>
      <c r="AF217" s="32">
        <f>IF(AQ217="2",BH217,0)</f>
        <v>0</v>
      </c>
      <c r="AG217" s="32">
        <f>IF(AQ217="2",BI217,0)</f>
        <v>0</v>
      </c>
      <c r="AH217" s="32">
        <f>IF(AQ217="0",BJ217,0)</f>
        <v>0</v>
      </c>
      <c r="AI217" s="28"/>
      <c r="AJ217" s="15">
        <f>IF(AN217=0,K217,0)</f>
        <v>0</v>
      </c>
      <c r="AK217" s="15">
        <f>IF(AN217=15,K217,0)</f>
        <v>0</v>
      </c>
      <c r="AL217" s="15">
        <f>IF(AN217=21,K217,0)</f>
        <v>0</v>
      </c>
      <c r="AN217" s="32">
        <v>21</v>
      </c>
      <c r="AO217" s="32">
        <f>H217*0.200098039215686</f>
        <v>0</v>
      </c>
      <c r="AP217" s="32">
        <f>H217*(1-0.200098039215686)</f>
        <v>0</v>
      </c>
      <c r="AQ217" s="27" t="s">
        <v>13</v>
      </c>
      <c r="AV217" s="32">
        <f>AW217+AX217</f>
        <v>0</v>
      </c>
      <c r="AW217" s="32">
        <f>G217*AO217</f>
        <v>0</v>
      </c>
      <c r="AX217" s="32">
        <f>G217*AP217</f>
        <v>0</v>
      </c>
      <c r="AY217" s="33" t="s">
        <v>674</v>
      </c>
      <c r="AZ217" s="33" t="s">
        <v>689</v>
      </c>
      <c r="BA217" s="28" t="s">
        <v>692</v>
      </c>
      <c r="BC217" s="32">
        <f>AW217+AX217</f>
        <v>0</v>
      </c>
      <c r="BD217" s="32">
        <f>H217/(100-BE217)*100</f>
        <v>0</v>
      </c>
      <c r="BE217" s="32">
        <v>0</v>
      </c>
      <c r="BF217" s="32">
        <f>215</f>
        <v>215</v>
      </c>
      <c r="BH217" s="15">
        <f>G217*AO217</f>
        <v>0</v>
      </c>
      <c r="BI217" s="15">
        <f>G217*AP217</f>
        <v>0</v>
      </c>
      <c r="BJ217" s="15">
        <f>G217*H217</f>
        <v>0</v>
      </c>
    </row>
    <row r="218" spans="1:62" x14ac:dyDescent="0.2">
      <c r="C218" s="58" t="s">
        <v>463</v>
      </c>
      <c r="D218" s="59"/>
      <c r="E218" s="59"/>
      <c r="G218" s="16">
        <v>3.6</v>
      </c>
    </row>
    <row r="219" spans="1:62" x14ac:dyDescent="0.2">
      <c r="C219" s="58" t="s">
        <v>464</v>
      </c>
      <c r="D219" s="59"/>
      <c r="E219" s="59"/>
      <c r="G219" s="16">
        <v>3.6</v>
      </c>
    </row>
    <row r="220" spans="1:62" x14ac:dyDescent="0.2">
      <c r="C220" s="58" t="s">
        <v>465</v>
      </c>
      <c r="D220" s="59"/>
      <c r="E220" s="59"/>
      <c r="G220" s="16">
        <v>24</v>
      </c>
    </row>
    <row r="221" spans="1:62" x14ac:dyDescent="0.2">
      <c r="C221" s="58" t="s">
        <v>466</v>
      </c>
      <c r="D221" s="59"/>
      <c r="E221" s="59"/>
      <c r="G221" s="16">
        <v>4.82</v>
      </c>
    </row>
    <row r="222" spans="1:62" x14ac:dyDescent="0.2">
      <c r="C222" s="58" t="s">
        <v>467</v>
      </c>
      <c r="D222" s="59"/>
      <c r="E222" s="59"/>
      <c r="G222" s="16">
        <v>23.1</v>
      </c>
    </row>
    <row r="223" spans="1:62" x14ac:dyDescent="0.2">
      <c r="C223" s="58" t="s">
        <v>468</v>
      </c>
      <c r="D223" s="59"/>
      <c r="E223" s="59"/>
      <c r="G223" s="16">
        <v>41</v>
      </c>
    </row>
    <row r="224" spans="1:62" x14ac:dyDescent="0.2">
      <c r="A224" s="4" t="s">
        <v>74</v>
      </c>
      <c r="B224" s="4" t="s">
        <v>207</v>
      </c>
      <c r="C224" s="56" t="s">
        <v>469</v>
      </c>
      <c r="D224" s="57"/>
      <c r="E224" s="57"/>
      <c r="F224" s="4" t="s">
        <v>625</v>
      </c>
      <c r="G224" s="15">
        <v>1.59</v>
      </c>
      <c r="H224" s="15">
        <v>0</v>
      </c>
      <c r="I224" s="15">
        <f>G224*AO224</f>
        <v>0</v>
      </c>
      <c r="J224" s="15">
        <f>G224*AP224</f>
        <v>0</v>
      </c>
      <c r="K224" s="15">
        <f>G224*H224</f>
        <v>0</v>
      </c>
      <c r="L224" s="27" t="s">
        <v>648</v>
      </c>
      <c r="Z224" s="32">
        <f>IF(AQ224="5",BJ224,0)</f>
        <v>0</v>
      </c>
      <c r="AB224" s="32">
        <f>IF(AQ224="1",BH224,0)</f>
        <v>0</v>
      </c>
      <c r="AC224" s="32">
        <f>IF(AQ224="1",BI224,0)</f>
        <v>0</v>
      </c>
      <c r="AD224" s="32">
        <f>IF(AQ224="7",BH224,0)</f>
        <v>0</v>
      </c>
      <c r="AE224" s="32">
        <f>IF(AQ224="7",BI224,0)</f>
        <v>0</v>
      </c>
      <c r="AF224" s="32">
        <f>IF(AQ224="2",BH224,0)</f>
        <v>0</v>
      </c>
      <c r="AG224" s="32">
        <f>IF(AQ224="2",BI224,0)</f>
        <v>0</v>
      </c>
      <c r="AH224" s="32">
        <f>IF(AQ224="0",BJ224,0)</f>
        <v>0</v>
      </c>
      <c r="AI224" s="28"/>
      <c r="AJ224" s="15">
        <f>IF(AN224=0,K224,0)</f>
        <v>0</v>
      </c>
      <c r="AK224" s="15">
        <f>IF(AN224=15,K224,0)</f>
        <v>0</v>
      </c>
      <c r="AL224" s="15">
        <f>IF(AN224=21,K224,0)</f>
        <v>0</v>
      </c>
      <c r="AN224" s="32">
        <v>21</v>
      </c>
      <c r="AO224" s="32">
        <f>H224*0.507946107784431</f>
        <v>0</v>
      </c>
      <c r="AP224" s="32">
        <f>H224*(1-0.507946107784431)</f>
        <v>0</v>
      </c>
      <c r="AQ224" s="27" t="s">
        <v>13</v>
      </c>
      <c r="AV224" s="32">
        <f>AW224+AX224</f>
        <v>0</v>
      </c>
      <c r="AW224" s="32">
        <f>G224*AO224</f>
        <v>0</v>
      </c>
      <c r="AX224" s="32">
        <f>G224*AP224</f>
        <v>0</v>
      </c>
      <c r="AY224" s="33" t="s">
        <v>674</v>
      </c>
      <c r="AZ224" s="33" t="s">
        <v>689</v>
      </c>
      <c r="BA224" s="28" t="s">
        <v>692</v>
      </c>
      <c r="BC224" s="32">
        <f>AW224+AX224</f>
        <v>0</v>
      </c>
      <c r="BD224" s="32">
        <f>H224/(100-BE224)*100</f>
        <v>0</v>
      </c>
      <c r="BE224" s="32">
        <v>0</v>
      </c>
      <c r="BF224" s="32">
        <f>222</f>
        <v>222</v>
      </c>
      <c r="BH224" s="15">
        <f>G224*AO224</f>
        <v>0</v>
      </c>
      <c r="BI224" s="15">
        <f>G224*AP224</f>
        <v>0</v>
      </c>
      <c r="BJ224" s="15">
        <f>G224*H224</f>
        <v>0</v>
      </c>
    </row>
    <row r="225" spans="1:62" x14ac:dyDescent="0.2">
      <c r="C225" s="58" t="s">
        <v>470</v>
      </c>
      <c r="D225" s="59"/>
      <c r="E225" s="59"/>
      <c r="G225" s="16">
        <v>1.59</v>
      </c>
    </row>
    <row r="226" spans="1:62" x14ac:dyDescent="0.2">
      <c r="A226" s="4" t="s">
        <v>75</v>
      </c>
      <c r="B226" s="4" t="s">
        <v>208</v>
      </c>
      <c r="C226" s="56" t="s">
        <v>471</v>
      </c>
      <c r="D226" s="57"/>
      <c r="E226" s="57"/>
      <c r="F226" s="4" t="s">
        <v>630</v>
      </c>
      <c r="G226" s="15">
        <v>0.27046999999999999</v>
      </c>
      <c r="H226" s="15">
        <v>0</v>
      </c>
      <c r="I226" s="15">
        <f>G226*AO226</f>
        <v>0</v>
      </c>
      <c r="J226" s="15">
        <f>G226*AP226</f>
        <v>0</v>
      </c>
      <c r="K226" s="15">
        <f>G226*H226</f>
        <v>0</v>
      </c>
      <c r="L226" s="27" t="s">
        <v>648</v>
      </c>
      <c r="Z226" s="32">
        <f>IF(AQ226="5",BJ226,0)</f>
        <v>0</v>
      </c>
      <c r="AB226" s="32">
        <f>IF(AQ226="1",BH226,0)</f>
        <v>0</v>
      </c>
      <c r="AC226" s="32">
        <f>IF(AQ226="1",BI226,0)</f>
        <v>0</v>
      </c>
      <c r="AD226" s="32">
        <f>IF(AQ226="7",BH226,0)</f>
        <v>0</v>
      </c>
      <c r="AE226" s="32">
        <f>IF(AQ226="7",BI226,0)</f>
        <v>0</v>
      </c>
      <c r="AF226" s="32">
        <f>IF(AQ226="2",BH226,0)</f>
        <v>0</v>
      </c>
      <c r="AG226" s="32">
        <f>IF(AQ226="2",BI226,0)</f>
        <v>0</v>
      </c>
      <c r="AH226" s="32">
        <f>IF(AQ226="0",BJ226,0)</f>
        <v>0</v>
      </c>
      <c r="AI226" s="28"/>
      <c r="AJ226" s="15">
        <f>IF(AN226=0,K226,0)</f>
        <v>0</v>
      </c>
      <c r="AK226" s="15">
        <f>IF(AN226=15,K226,0)</f>
        <v>0</v>
      </c>
      <c r="AL226" s="15">
        <f>IF(AN226=21,K226,0)</f>
        <v>0</v>
      </c>
      <c r="AN226" s="32">
        <v>21</v>
      </c>
      <c r="AO226" s="32">
        <f>H226*0</f>
        <v>0</v>
      </c>
      <c r="AP226" s="32">
        <f>H226*(1-0)</f>
        <v>0</v>
      </c>
      <c r="AQ226" s="27" t="s">
        <v>11</v>
      </c>
      <c r="AV226" s="32">
        <f>AW226+AX226</f>
        <v>0</v>
      </c>
      <c r="AW226" s="32">
        <f>G226*AO226</f>
        <v>0</v>
      </c>
      <c r="AX226" s="32">
        <f>G226*AP226</f>
        <v>0</v>
      </c>
      <c r="AY226" s="33" t="s">
        <v>674</v>
      </c>
      <c r="AZ226" s="33" t="s">
        <v>689</v>
      </c>
      <c r="BA226" s="28" t="s">
        <v>692</v>
      </c>
      <c r="BC226" s="32">
        <f>AW226+AX226</f>
        <v>0</v>
      </c>
      <c r="BD226" s="32">
        <f>H226/(100-BE226)*100</f>
        <v>0</v>
      </c>
      <c r="BE226" s="32">
        <v>0</v>
      </c>
      <c r="BF226" s="32">
        <f>224</f>
        <v>224</v>
      </c>
      <c r="BH226" s="15">
        <f>G226*AO226</f>
        <v>0</v>
      </c>
      <c r="BI226" s="15">
        <f>G226*AP226</f>
        <v>0</v>
      </c>
      <c r="BJ226" s="15">
        <f>G226*H226</f>
        <v>0</v>
      </c>
    </row>
    <row r="227" spans="1:62" x14ac:dyDescent="0.2">
      <c r="C227" s="58" t="s">
        <v>472</v>
      </c>
      <c r="D227" s="59"/>
      <c r="E227" s="59"/>
      <c r="G227" s="16">
        <v>0.27046999999999999</v>
      </c>
    </row>
    <row r="228" spans="1:62" x14ac:dyDescent="0.2">
      <c r="A228" s="5"/>
      <c r="B228" s="13" t="s">
        <v>209</v>
      </c>
      <c r="C228" s="66" t="s">
        <v>473</v>
      </c>
      <c r="D228" s="67"/>
      <c r="E228" s="67"/>
      <c r="F228" s="5" t="s">
        <v>6</v>
      </c>
      <c r="G228" s="5" t="s">
        <v>6</v>
      </c>
      <c r="H228" s="5" t="s">
        <v>6</v>
      </c>
      <c r="I228" s="35">
        <f>SUM(I229:I263)</f>
        <v>0</v>
      </c>
      <c r="J228" s="35">
        <f>SUM(J229:J263)</f>
        <v>0</v>
      </c>
      <c r="K228" s="35">
        <f>SUM(K229:K263)</f>
        <v>0</v>
      </c>
      <c r="L228" s="28"/>
      <c r="AI228" s="28"/>
      <c r="AS228" s="35">
        <f>SUM(AJ229:AJ263)</f>
        <v>0</v>
      </c>
      <c r="AT228" s="35">
        <f>SUM(AK229:AK263)</f>
        <v>0</v>
      </c>
      <c r="AU228" s="35">
        <f>SUM(AL229:AL263)</f>
        <v>0</v>
      </c>
    </row>
    <row r="229" spans="1:62" x14ac:dyDescent="0.2">
      <c r="A229" s="4" t="s">
        <v>76</v>
      </c>
      <c r="B229" s="4" t="s">
        <v>210</v>
      </c>
      <c r="C229" s="56" t="s">
        <v>474</v>
      </c>
      <c r="D229" s="57"/>
      <c r="E229" s="57"/>
      <c r="F229" s="4" t="s">
        <v>625</v>
      </c>
      <c r="G229" s="15">
        <v>334.58499999999998</v>
      </c>
      <c r="H229" s="15">
        <v>0</v>
      </c>
      <c r="I229" s="15">
        <f>G229*AO229</f>
        <v>0</v>
      </c>
      <c r="J229" s="15">
        <f>G229*AP229</f>
        <v>0</v>
      </c>
      <c r="K229" s="15">
        <f>G229*H229</f>
        <v>0</v>
      </c>
      <c r="L229" s="27" t="s">
        <v>648</v>
      </c>
      <c r="Z229" s="32">
        <f>IF(AQ229="5",BJ229,0)</f>
        <v>0</v>
      </c>
      <c r="AB229" s="32">
        <f>IF(AQ229="1",BH229,0)</f>
        <v>0</v>
      </c>
      <c r="AC229" s="32">
        <f>IF(AQ229="1",BI229,0)</f>
        <v>0</v>
      </c>
      <c r="AD229" s="32">
        <f>IF(AQ229="7",BH229,0)</f>
        <v>0</v>
      </c>
      <c r="AE229" s="32">
        <f>IF(AQ229="7",BI229,0)</f>
        <v>0</v>
      </c>
      <c r="AF229" s="32">
        <f>IF(AQ229="2",BH229,0)</f>
        <v>0</v>
      </c>
      <c r="AG229" s="32">
        <f>IF(AQ229="2",BI229,0)</f>
        <v>0</v>
      </c>
      <c r="AH229" s="32">
        <f>IF(AQ229="0",BJ229,0)</f>
        <v>0</v>
      </c>
      <c r="AI229" s="28"/>
      <c r="AJ229" s="15">
        <f>IF(AN229=0,K229,0)</f>
        <v>0</v>
      </c>
      <c r="AK229" s="15">
        <f>IF(AN229=15,K229,0)</f>
        <v>0</v>
      </c>
      <c r="AL229" s="15">
        <f>IF(AN229=21,K229,0)</f>
        <v>0</v>
      </c>
      <c r="AN229" s="32">
        <v>21</v>
      </c>
      <c r="AO229" s="32">
        <f>H229*0.0282533333333333</f>
        <v>0</v>
      </c>
      <c r="AP229" s="32">
        <f>H229*(1-0.0282533333333333)</f>
        <v>0</v>
      </c>
      <c r="AQ229" s="27" t="s">
        <v>13</v>
      </c>
      <c r="AV229" s="32">
        <f>AW229+AX229</f>
        <v>0</v>
      </c>
      <c r="AW229" s="32">
        <f>G229*AO229</f>
        <v>0</v>
      </c>
      <c r="AX229" s="32">
        <f>G229*AP229</f>
        <v>0</v>
      </c>
      <c r="AY229" s="33" t="s">
        <v>675</v>
      </c>
      <c r="AZ229" s="33" t="s">
        <v>689</v>
      </c>
      <c r="BA229" s="28" t="s">
        <v>692</v>
      </c>
      <c r="BC229" s="32">
        <f>AW229+AX229</f>
        <v>0</v>
      </c>
      <c r="BD229" s="32">
        <f>H229/(100-BE229)*100</f>
        <v>0</v>
      </c>
      <c r="BE229" s="32">
        <v>0</v>
      </c>
      <c r="BF229" s="32">
        <f>227</f>
        <v>227</v>
      </c>
      <c r="BH229" s="15">
        <f>G229*AO229</f>
        <v>0</v>
      </c>
      <c r="BI229" s="15">
        <f>G229*AP229</f>
        <v>0</v>
      </c>
      <c r="BJ229" s="15">
        <f>G229*H229</f>
        <v>0</v>
      </c>
    </row>
    <row r="230" spans="1:62" x14ac:dyDescent="0.2">
      <c r="C230" s="58" t="s">
        <v>475</v>
      </c>
      <c r="D230" s="59"/>
      <c r="E230" s="59"/>
      <c r="G230" s="16">
        <v>8.64</v>
      </c>
    </row>
    <row r="231" spans="1:62" x14ac:dyDescent="0.2">
      <c r="C231" s="58" t="s">
        <v>476</v>
      </c>
      <c r="D231" s="59"/>
      <c r="E231" s="59"/>
      <c r="G231" s="16">
        <v>6.5010000000000003</v>
      </c>
    </row>
    <row r="232" spans="1:62" x14ac:dyDescent="0.2">
      <c r="C232" s="58" t="s">
        <v>477</v>
      </c>
      <c r="D232" s="59"/>
      <c r="E232" s="59"/>
      <c r="G232" s="16">
        <v>4.32</v>
      </c>
    </row>
    <row r="233" spans="1:62" x14ac:dyDescent="0.2">
      <c r="C233" s="58" t="s">
        <v>478</v>
      </c>
      <c r="D233" s="59"/>
      <c r="E233" s="59"/>
      <c r="G233" s="16">
        <v>38.880000000000003</v>
      </c>
    </row>
    <row r="234" spans="1:62" x14ac:dyDescent="0.2">
      <c r="C234" s="58" t="s">
        <v>479</v>
      </c>
      <c r="D234" s="59"/>
      <c r="E234" s="59"/>
      <c r="G234" s="16">
        <v>7.56</v>
      </c>
    </row>
    <row r="235" spans="1:62" x14ac:dyDescent="0.2">
      <c r="C235" s="58" t="s">
        <v>480</v>
      </c>
      <c r="D235" s="59"/>
      <c r="E235" s="59"/>
      <c r="G235" s="16">
        <v>34.020000000000003</v>
      </c>
    </row>
    <row r="236" spans="1:62" x14ac:dyDescent="0.2">
      <c r="C236" s="58" t="s">
        <v>481</v>
      </c>
      <c r="D236" s="59"/>
      <c r="E236" s="59"/>
      <c r="G236" s="16">
        <v>4.32</v>
      </c>
    </row>
    <row r="237" spans="1:62" x14ac:dyDescent="0.2">
      <c r="C237" s="58" t="s">
        <v>482</v>
      </c>
      <c r="D237" s="59"/>
      <c r="E237" s="59"/>
      <c r="G237" s="16">
        <v>2.16</v>
      </c>
    </row>
    <row r="238" spans="1:62" x14ac:dyDescent="0.2">
      <c r="C238" s="58" t="s">
        <v>483</v>
      </c>
      <c r="D238" s="59"/>
      <c r="E238" s="59"/>
      <c r="G238" s="16">
        <v>3.24</v>
      </c>
    </row>
    <row r="239" spans="1:62" x14ac:dyDescent="0.2">
      <c r="C239" s="58" t="s">
        <v>484</v>
      </c>
      <c r="D239" s="59"/>
      <c r="E239" s="59"/>
      <c r="G239" s="16">
        <v>34.704000000000001</v>
      </c>
    </row>
    <row r="240" spans="1:62" x14ac:dyDescent="0.2">
      <c r="C240" s="58" t="s">
        <v>485</v>
      </c>
      <c r="D240" s="59"/>
      <c r="E240" s="59"/>
      <c r="G240" s="16">
        <v>190.24</v>
      </c>
    </row>
    <row r="241" spans="1:62" x14ac:dyDescent="0.2">
      <c r="A241" s="6" t="s">
        <v>77</v>
      </c>
      <c r="B241" s="6" t="s">
        <v>211</v>
      </c>
      <c r="C241" s="68" t="s">
        <v>486</v>
      </c>
      <c r="D241" s="69"/>
      <c r="E241" s="69"/>
      <c r="F241" s="6" t="s">
        <v>629</v>
      </c>
      <c r="G241" s="17">
        <v>12</v>
      </c>
      <c r="H241" s="17">
        <v>0</v>
      </c>
      <c r="I241" s="17">
        <f>G241*AO241</f>
        <v>0</v>
      </c>
      <c r="J241" s="17">
        <f>G241*AP241</f>
        <v>0</v>
      </c>
      <c r="K241" s="17">
        <f>G241*H241</f>
        <v>0</v>
      </c>
      <c r="L241" s="29"/>
      <c r="Z241" s="32">
        <f>IF(AQ241="5",BJ241,0)</f>
        <v>0</v>
      </c>
      <c r="AB241" s="32">
        <f>IF(AQ241="1",BH241,0)</f>
        <v>0</v>
      </c>
      <c r="AC241" s="32">
        <f>IF(AQ241="1",BI241,0)</f>
        <v>0</v>
      </c>
      <c r="AD241" s="32">
        <f>IF(AQ241="7",BH241,0)</f>
        <v>0</v>
      </c>
      <c r="AE241" s="32">
        <f>IF(AQ241="7",BI241,0)</f>
        <v>0</v>
      </c>
      <c r="AF241" s="32">
        <f>IF(AQ241="2",BH241,0)</f>
        <v>0</v>
      </c>
      <c r="AG241" s="32">
        <f>IF(AQ241="2",BI241,0)</f>
        <v>0</v>
      </c>
      <c r="AH241" s="32">
        <f>IF(AQ241="0",BJ241,0)</f>
        <v>0</v>
      </c>
      <c r="AI241" s="28"/>
      <c r="AJ241" s="17">
        <f>IF(AN241=0,K241,0)</f>
        <v>0</v>
      </c>
      <c r="AK241" s="17">
        <f>IF(AN241=15,K241,0)</f>
        <v>0</v>
      </c>
      <c r="AL241" s="17">
        <f>IF(AN241=21,K241,0)</f>
        <v>0</v>
      </c>
      <c r="AN241" s="32">
        <v>21</v>
      </c>
      <c r="AO241" s="32">
        <f>H241*1</f>
        <v>0</v>
      </c>
      <c r="AP241" s="32">
        <f>H241*(1-1)</f>
        <v>0</v>
      </c>
      <c r="AQ241" s="29" t="s">
        <v>13</v>
      </c>
      <c r="AV241" s="32">
        <f>AW241+AX241</f>
        <v>0</v>
      </c>
      <c r="AW241" s="32">
        <f>G241*AO241</f>
        <v>0</v>
      </c>
      <c r="AX241" s="32">
        <f>G241*AP241</f>
        <v>0</v>
      </c>
      <c r="AY241" s="33" t="s">
        <v>675</v>
      </c>
      <c r="AZ241" s="33" t="s">
        <v>689</v>
      </c>
      <c r="BA241" s="28" t="s">
        <v>692</v>
      </c>
      <c r="BC241" s="32">
        <f>AW241+AX241</f>
        <v>0</v>
      </c>
      <c r="BD241" s="32">
        <f>H241/(100-BE241)*100</f>
        <v>0</v>
      </c>
      <c r="BE241" s="32">
        <v>0</v>
      </c>
      <c r="BF241" s="32">
        <f>239</f>
        <v>239</v>
      </c>
      <c r="BH241" s="17">
        <f>G241*AO241</f>
        <v>0</v>
      </c>
      <c r="BI241" s="17">
        <f>G241*AP241</f>
        <v>0</v>
      </c>
      <c r="BJ241" s="17">
        <f>G241*H241</f>
        <v>0</v>
      </c>
    </row>
    <row r="242" spans="1:62" x14ac:dyDescent="0.2">
      <c r="C242" s="58" t="s">
        <v>487</v>
      </c>
      <c r="D242" s="59"/>
      <c r="E242" s="59"/>
      <c r="G242" s="16">
        <v>12</v>
      </c>
    </row>
    <row r="243" spans="1:62" x14ac:dyDescent="0.2">
      <c r="A243" s="6" t="s">
        <v>78</v>
      </c>
      <c r="B243" s="6" t="s">
        <v>212</v>
      </c>
      <c r="C243" s="68" t="s">
        <v>488</v>
      </c>
      <c r="D243" s="69"/>
      <c r="E243" s="69"/>
      <c r="F243" s="6" t="s">
        <v>629</v>
      </c>
      <c r="G243" s="17">
        <v>2</v>
      </c>
      <c r="H243" s="17">
        <v>0</v>
      </c>
      <c r="I243" s="17">
        <f>G243*AO243</f>
        <v>0</v>
      </c>
      <c r="J243" s="17">
        <f>G243*AP243</f>
        <v>0</v>
      </c>
      <c r="K243" s="17">
        <f>G243*H243</f>
        <v>0</v>
      </c>
      <c r="L243" s="29"/>
      <c r="Z243" s="32">
        <f>IF(AQ243="5",BJ243,0)</f>
        <v>0</v>
      </c>
      <c r="AB243" s="32">
        <f>IF(AQ243="1",BH243,0)</f>
        <v>0</v>
      </c>
      <c r="AC243" s="32">
        <f>IF(AQ243="1",BI243,0)</f>
        <v>0</v>
      </c>
      <c r="AD243" s="32">
        <f>IF(AQ243="7",BH243,0)</f>
        <v>0</v>
      </c>
      <c r="AE243" s="32">
        <f>IF(AQ243="7",BI243,0)</f>
        <v>0</v>
      </c>
      <c r="AF243" s="32">
        <f>IF(AQ243="2",BH243,0)</f>
        <v>0</v>
      </c>
      <c r="AG243" s="32">
        <f>IF(AQ243="2",BI243,0)</f>
        <v>0</v>
      </c>
      <c r="AH243" s="32">
        <f>IF(AQ243="0",BJ243,0)</f>
        <v>0</v>
      </c>
      <c r="AI243" s="28"/>
      <c r="AJ243" s="17">
        <f>IF(AN243=0,K243,0)</f>
        <v>0</v>
      </c>
      <c r="AK243" s="17">
        <f>IF(AN243=15,K243,0)</f>
        <v>0</v>
      </c>
      <c r="AL243" s="17">
        <f>IF(AN243=21,K243,0)</f>
        <v>0</v>
      </c>
      <c r="AN243" s="32">
        <v>21</v>
      </c>
      <c r="AO243" s="32">
        <f>H243*1</f>
        <v>0</v>
      </c>
      <c r="AP243" s="32">
        <f>H243*(1-1)</f>
        <v>0</v>
      </c>
      <c r="AQ243" s="29" t="s">
        <v>13</v>
      </c>
      <c r="AV243" s="32">
        <f>AW243+AX243</f>
        <v>0</v>
      </c>
      <c r="AW243" s="32">
        <f>G243*AO243</f>
        <v>0</v>
      </c>
      <c r="AX243" s="32">
        <f>G243*AP243</f>
        <v>0</v>
      </c>
      <c r="AY243" s="33" t="s">
        <v>675</v>
      </c>
      <c r="AZ243" s="33" t="s">
        <v>689</v>
      </c>
      <c r="BA243" s="28" t="s">
        <v>692</v>
      </c>
      <c r="BC243" s="32">
        <f>AW243+AX243</f>
        <v>0</v>
      </c>
      <c r="BD243" s="32">
        <f>H243/(100-BE243)*100</f>
        <v>0</v>
      </c>
      <c r="BE243" s="32">
        <v>0</v>
      </c>
      <c r="BF243" s="32">
        <f>241</f>
        <v>241</v>
      </c>
      <c r="BH243" s="17">
        <f>G243*AO243</f>
        <v>0</v>
      </c>
      <c r="BI243" s="17">
        <f>G243*AP243</f>
        <v>0</v>
      </c>
      <c r="BJ243" s="17">
        <f>G243*H243</f>
        <v>0</v>
      </c>
    </row>
    <row r="244" spans="1:62" x14ac:dyDescent="0.2">
      <c r="C244" s="58" t="s">
        <v>489</v>
      </c>
      <c r="D244" s="59"/>
      <c r="E244" s="59"/>
      <c r="G244" s="16">
        <v>2</v>
      </c>
    </row>
    <row r="245" spans="1:62" x14ac:dyDescent="0.2">
      <c r="A245" s="6" t="s">
        <v>79</v>
      </c>
      <c r="B245" s="6" t="s">
        <v>213</v>
      </c>
      <c r="C245" s="68" t="s">
        <v>490</v>
      </c>
      <c r="D245" s="69"/>
      <c r="E245" s="69"/>
      <c r="F245" s="6" t="s">
        <v>629</v>
      </c>
      <c r="G245" s="17">
        <v>1</v>
      </c>
      <c r="H245" s="17">
        <v>0</v>
      </c>
      <c r="I245" s="17">
        <f>G245*AO245</f>
        <v>0</v>
      </c>
      <c r="J245" s="17">
        <f>G245*AP245</f>
        <v>0</v>
      </c>
      <c r="K245" s="17">
        <f>G245*H245</f>
        <v>0</v>
      </c>
      <c r="L245" s="29"/>
      <c r="Z245" s="32">
        <f>IF(AQ245="5",BJ245,0)</f>
        <v>0</v>
      </c>
      <c r="AB245" s="32">
        <f>IF(AQ245="1",BH245,0)</f>
        <v>0</v>
      </c>
      <c r="AC245" s="32">
        <f>IF(AQ245="1",BI245,0)</f>
        <v>0</v>
      </c>
      <c r="AD245" s="32">
        <f>IF(AQ245="7",BH245,0)</f>
        <v>0</v>
      </c>
      <c r="AE245" s="32">
        <f>IF(AQ245="7",BI245,0)</f>
        <v>0</v>
      </c>
      <c r="AF245" s="32">
        <f>IF(AQ245="2",BH245,0)</f>
        <v>0</v>
      </c>
      <c r="AG245" s="32">
        <f>IF(AQ245="2",BI245,0)</f>
        <v>0</v>
      </c>
      <c r="AH245" s="32">
        <f>IF(AQ245="0",BJ245,0)</f>
        <v>0</v>
      </c>
      <c r="AI245" s="28"/>
      <c r="AJ245" s="17">
        <f>IF(AN245=0,K245,0)</f>
        <v>0</v>
      </c>
      <c r="AK245" s="17">
        <f>IF(AN245=15,K245,0)</f>
        <v>0</v>
      </c>
      <c r="AL245" s="17">
        <f>IF(AN245=21,K245,0)</f>
        <v>0</v>
      </c>
      <c r="AN245" s="32">
        <v>21</v>
      </c>
      <c r="AO245" s="32">
        <f>H245*1</f>
        <v>0</v>
      </c>
      <c r="AP245" s="32">
        <f>H245*(1-1)</f>
        <v>0</v>
      </c>
      <c r="AQ245" s="29" t="s">
        <v>13</v>
      </c>
      <c r="AV245" s="32">
        <f>AW245+AX245</f>
        <v>0</v>
      </c>
      <c r="AW245" s="32">
        <f>G245*AO245</f>
        <v>0</v>
      </c>
      <c r="AX245" s="32">
        <f>G245*AP245</f>
        <v>0</v>
      </c>
      <c r="AY245" s="33" t="s">
        <v>675</v>
      </c>
      <c r="AZ245" s="33" t="s">
        <v>689</v>
      </c>
      <c r="BA245" s="28" t="s">
        <v>692</v>
      </c>
      <c r="BC245" s="32">
        <f>AW245+AX245</f>
        <v>0</v>
      </c>
      <c r="BD245" s="32">
        <f>H245/(100-BE245)*100</f>
        <v>0</v>
      </c>
      <c r="BE245" s="32">
        <v>0</v>
      </c>
      <c r="BF245" s="32">
        <f>243</f>
        <v>243</v>
      </c>
      <c r="BH245" s="17">
        <f>G245*AO245</f>
        <v>0</v>
      </c>
      <c r="BI245" s="17">
        <f>G245*AP245</f>
        <v>0</v>
      </c>
      <c r="BJ245" s="17">
        <f>G245*H245</f>
        <v>0</v>
      </c>
    </row>
    <row r="246" spans="1:62" x14ac:dyDescent="0.2">
      <c r="C246" s="58" t="s">
        <v>491</v>
      </c>
      <c r="D246" s="59"/>
      <c r="E246" s="59"/>
      <c r="G246" s="16">
        <v>1</v>
      </c>
    </row>
    <row r="247" spans="1:62" x14ac:dyDescent="0.2">
      <c r="A247" s="6" t="s">
        <v>80</v>
      </c>
      <c r="B247" s="6" t="s">
        <v>214</v>
      </c>
      <c r="C247" s="68" t="s">
        <v>492</v>
      </c>
      <c r="D247" s="69"/>
      <c r="E247" s="69"/>
      <c r="F247" s="6" t="s">
        <v>629</v>
      </c>
      <c r="G247" s="17">
        <v>9</v>
      </c>
      <c r="H247" s="17">
        <v>0</v>
      </c>
      <c r="I247" s="17">
        <f>G247*AO247</f>
        <v>0</v>
      </c>
      <c r="J247" s="17">
        <f>G247*AP247</f>
        <v>0</v>
      </c>
      <c r="K247" s="17">
        <f>G247*H247</f>
        <v>0</v>
      </c>
      <c r="L247" s="29"/>
      <c r="Z247" s="32">
        <f>IF(AQ247="5",BJ247,0)</f>
        <v>0</v>
      </c>
      <c r="AB247" s="32">
        <f>IF(AQ247="1",BH247,0)</f>
        <v>0</v>
      </c>
      <c r="AC247" s="32">
        <f>IF(AQ247="1",BI247,0)</f>
        <v>0</v>
      </c>
      <c r="AD247" s="32">
        <f>IF(AQ247="7",BH247,0)</f>
        <v>0</v>
      </c>
      <c r="AE247" s="32">
        <f>IF(AQ247="7",BI247,0)</f>
        <v>0</v>
      </c>
      <c r="AF247" s="32">
        <f>IF(AQ247="2",BH247,0)</f>
        <v>0</v>
      </c>
      <c r="AG247" s="32">
        <f>IF(AQ247="2",BI247,0)</f>
        <v>0</v>
      </c>
      <c r="AH247" s="32">
        <f>IF(AQ247="0",BJ247,0)</f>
        <v>0</v>
      </c>
      <c r="AI247" s="28"/>
      <c r="AJ247" s="17">
        <f>IF(AN247=0,K247,0)</f>
        <v>0</v>
      </c>
      <c r="AK247" s="17">
        <f>IF(AN247=15,K247,0)</f>
        <v>0</v>
      </c>
      <c r="AL247" s="17">
        <f>IF(AN247=21,K247,0)</f>
        <v>0</v>
      </c>
      <c r="AN247" s="32">
        <v>21</v>
      </c>
      <c r="AO247" s="32">
        <f>H247*1</f>
        <v>0</v>
      </c>
      <c r="AP247" s="32">
        <f>H247*(1-1)</f>
        <v>0</v>
      </c>
      <c r="AQ247" s="29" t="s">
        <v>13</v>
      </c>
      <c r="AV247" s="32">
        <f>AW247+AX247</f>
        <v>0</v>
      </c>
      <c r="AW247" s="32">
        <f>G247*AO247</f>
        <v>0</v>
      </c>
      <c r="AX247" s="32">
        <f>G247*AP247</f>
        <v>0</v>
      </c>
      <c r="AY247" s="33" t="s">
        <v>675</v>
      </c>
      <c r="AZ247" s="33" t="s">
        <v>689</v>
      </c>
      <c r="BA247" s="28" t="s">
        <v>692</v>
      </c>
      <c r="BC247" s="32">
        <f>AW247+AX247</f>
        <v>0</v>
      </c>
      <c r="BD247" s="32">
        <f>H247/(100-BE247)*100</f>
        <v>0</v>
      </c>
      <c r="BE247" s="32">
        <v>0</v>
      </c>
      <c r="BF247" s="32">
        <f>245</f>
        <v>245</v>
      </c>
      <c r="BH247" s="17">
        <f>G247*AO247</f>
        <v>0</v>
      </c>
      <c r="BI247" s="17">
        <f>G247*AP247</f>
        <v>0</v>
      </c>
      <c r="BJ247" s="17">
        <f>G247*H247</f>
        <v>0</v>
      </c>
    </row>
    <row r="248" spans="1:62" x14ac:dyDescent="0.2">
      <c r="C248" s="58" t="s">
        <v>493</v>
      </c>
      <c r="D248" s="59"/>
      <c r="E248" s="59"/>
      <c r="G248" s="16">
        <v>9</v>
      </c>
    </row>
    <row r="249" spans="1:62" x14ac:dyDescent="0.2">
      <c r="A249" s="6" t="s">
        <v>81</v>
      </c>
      <c r="B249" s="6" t="s">
        <v>215</v>
      </c>
      <c r="C249" s="68" t="s">
        <v>494</v>
      </c>
      <c r="D249" s="69"/>
      <c r="E249" s="69"/>
      <c r="F249" s="6" t="s">
        <v>629</v>
      </c>
      <c r="G249" s="17">
        <v>2</v>
      </c>
      <c r="H249" s="17">
        <v>0</v>
      </c>
      <c r="I249" s="17">
        <f>G249*AO249</f>
        <v>0</v>
      </c>
      <c r="J249" s="17">
        <f>G249*AP249</f>
        <v>0</v>
      </c>
      <c r="K249" s="17">
        <f>G249*H249</f>
        <v>0</v>
      </c>
      <c r="L249" s="29"/>
      <c r="Z249" s="32">
        <f>IF(AQ249="5",BJ249,0)</f>
        <v>0</v>
      </c>
      <c r="AB249" s="32">
        <f>IF(AQ249="1",BH249,0)</f>
        <v>0</v>
      </c>
      <c r="AC249" s="32">
        <f>IF(AQ249="1",BI249,0)</f>
        <v>0</v>
      </c>
      <c r="AD249" s="32">
        <f>IF(AQ249="7",BH249,0)</f>
        <v>0</v>
      </c>
      <c r="AE249" s="32">
        <f>IF(AQ249="7",BI249,0)</f>
        <v>0</v>
      </c>
      <c r="AF249" s="32">
        <f>IF(AQ249="2",BH249,0)</f>
        <v>0</v>
      </c>
      <c r="AG249" s="32">
        <f>IF(AQ249="2",BI249,0)</f>
        <v>0</v>
      </c>
      <c r="AH249" s="32">
        <f>IF(AQ249="0",BJ249,0)</f>
        <v>0</v>
      </c>
      <c r="AI249" s="28"/>
      <c r="AJ249" s="17">
        <f>IF(AN249=0,K249,0)</f>
        <v>0</v>
      </c>
      <c r="AK249" s="17">
        <f>IF(AN249=15,K249,0)</f>
        <v>0</v>
      </c>
      <c r="AL249" s="17">
        <f>IF(AN249=21,K249,0)</f>
        <v>0</v>
      </c>
      <c r="AN249" s="32">
        <v>21</v>
      </c>
      <c r="AO249" s="32">
        <f>H249*1</f>
        <v>0</v>
      </c>
      <c r="AP249" s="32">
        <f>H249*(1-1)</f>
        <v>0</v>
      </c>
      <c r="AQ249" s="29" t="s">
        <v>13</v>
      </c>
      <c r="AV249" s="32">
        <f>AW249+AX249</f>
        <v>0</v>
      </c>
      <c r="AW249" s="32">
        <f>G249*AO249</f>
        <v>0</v>
      </c>
      <c r="AX249" s="32">
        <f>G249*AP249</f>
        <v>0</v>
      </c>
      <c r="AY249" s="33" t="s">
        <v>675</v>
      </c>
      <c r="AZ249" s="33" t="s">
        <v>689</v>
      </c>
      <c r="BA249" s="28" t="s">
        <v>692</v>
      </c>
      <c r="BC249" s="32">
        <f>AW249+AX249</f>
        <v>0</v>
      </c>
      <c r="BD249" s="32">
        <f>H249/(100-BE249)*100</f>
        <v>0</v>
      </c>
      <c r="BE249" s="32">
        <v>0</v>
      </c>
      <c r="BF249" s="32">
        <f>247</f>
        <v>247</v>
      </c>
      <c r="BH249" s="17">
        <f>G249*AO249</f>
        <v>0</v>
      </c>
      <c r="BI249" s="17">
        <f>G249*AP249</f>
        <v>0</v>
      </c>
      <c r="BJ249" s="17">
        <f>G249*H249</f>
        <v>0</v>
      </c>
    </row>
    <row r="250" spans="1:62" x14ac:dyDescent="0.2">
      <c r="C250" s="58" t="s">
        <v>495</v>
      </c>
      <c r="D250" s="59"/>
      <c r="E250" s="59"/>
      <c r="G250" s="16">
        <v>2</v>
      </c>
    </row>
    <row r="251" spans="1:62" x14ac:dyDescent="0.2">
      <c r="A251" s="6" t="s">
        <v>82</v>
      </c>
      <c r="B251" s="6" t="s">
        <v>216</v>
      </c>
      <c r="C251" s="68" t="s">
        <v>496</v>
      </c>
      <c r="D251" s="69"/>
      <c r="E251" s="69"/>
      <c r="F251" s="6" t="s">
        <v>629</v>
      </c>
      <c r="G251" s="17">
        <v>9</v>
      </c>
      <c r="H251" s="17">
        <v>0</v>
      </c>
      <c r="I251" s="17">
        <f>G251*AO251</f>
        <v>0</v>
      </c>
      <c r="J251" s="17">
        <f>G251*AP251</f>
        <v>0</v>
      </c>
      <c r="K251" s="17">
        <f>G251*H251</f>
        <v>0</v>
      </c>
      <c r="L251" s="29"/>
      <c r="Z251" s="32">
        <f>IF(AQ251="5",BJ251,0)</f>
        <v>0</v>
      </c>
      <c r="AB251" s="32">
        <f>IF(AQ251="1",BH251,0)</f>
        <v>0</v>
      </c>
      <c r="AC251" s="32">
        <f>IF(AQ251="1",BI251,0)</f>
        <v>0</v>
      </c>
      <c r="AD251" s="32">
        <f>IF(AQ251="7",BH251,0)</f>
        <v>0</v>
      </c>
      <c r="AE251" s="32">
        <f>IF(AQ251="7",BI251,0)</f>
        <v>0</v>
      </c>
      <c r="AF251" s="32">
        <f>IF(AQ251="2",BH251,0)</f>
        <v>0</v>
      </c>
      <c r="AG251" s="32">
        <f>IF(AQ251="2",BI251,0)</f>
        <v>0</v>
      </c>
      <c r="AH251" s="32">
        <f>IF(AQ251="0",BJ251,0)</f>
        <v>0</v>
      </c>
      <c r="AI251" s="28"/>
      <c r="AJ251" s="17">
        <f>IF(AN251=0,K251,0)</f>
        <v>0</v>
      </c>
      <c r="AK251" s="17">
        <f>IF(AN251=15,K251,0)</f>
        <v>0</v>
      </c>
      <c r="AL251" s="17">
        <f>IF(AN251=21,K251,0)</f>
        <v>0</v>
      </c>
      <c r="AN251" s="32">
        <v>21</v>
      </c>
      <c r="AO251" s="32">
        <f>H251*1</f>
        <v>0</v>
      </c>
      <c r="AP251" s="32">
        <f>H251*(1-1)</f>
        <v>0</v>
      </c>
      <c r="AQ251" s="29" t="s">
        <v>13</v>
      </c>
      <c r="AV251" s="32">
        <f>AW251+AX251</f>
        <v>0</v>
      </c>
      <c r="AW251" s="32">
        <f>G251*AO251</f>
        <v>0</v>
      </c>
      <c r="AX251" s="32">
        <f>G251*AP251</f>
        <v>0</v>
      </c>
      <c r="AY251" s="33" t="s">
        <v>675</v>
      </c>
      <c r="AZ251" s="33" t="s">
        <v>689</v>
      </c>
      <c r="BA251" s="28" t="s">
        <v>692</v>
      </c>
      <c r="BC251" s="32">
        <f>AW251+AX251</f>
        <v>0</v>
      </c>
      <c r="BD251" s="32">
        <f>H251/(100-BE251)*100</f>
        <v>0</v>
      </c>
      <c r="BE251" s="32">
        <v>0</v>
      </c>
      <c r="BF251" s="32">
        <f>249</f>
        <v>249</v>
      </c>
      <c r="BH251" s="17">
        <f>G251*AO251</f>
        <v>0</v>
      </c>
      <c r="BI251" s="17">
        <f>G251*AP251</f>
        <v>0</v>
      </c>
      <c r="BJ251" s="17">
        <f>G251*H251</f>
        <v>0</v>
      </c>
    </row>
    <row r="252" spans="1:62" x14ac:dyDescent="0.2">
      <c r="C252" s="58" t="s">
        <v>497</v>
      </c>
      <c r="D252" s="59"/>
      <c r="E252" s="59"/>
      <c r="G252" s="16">
        <v>9</v>
      </c>
    </row>
    <row r="253" spans="1:62" x14ac:dyDescent="0.2">
      <c r="A253" s="6" t="s">
        <v>83</v>
      </c>
      <c r="B253" s="6" t="s">
        <v>217</v>
      </c>
      <c r="C253" s="68" t="s">
        <v>498</v>
      </c>
      <c r="D253" s="69"/>
      <c r="E253" s="69"/>
      <c r="F253" s="6" t="s">
        <v>629</v>
      </c>
      <c r="G253" s="17">
        <v>2</v>
      </c>
      <c r="H253" s="17">
        <v>0</v>
      </c>
      <c r="I253" s="17">
        <f>G253*AO253</f>
        <v>0</v>
      </c>
      <c r="J253" s="17">
        <f>G253*AP253</f>
        <v>0</v>
      </c>
      <c r="K253" s="17">
        <f>G253*H253</f>
        <v>0</v>
      </c>
      <c r="L253" s="29"/>
      <c r="Z253" s="32">
        <f>IF(AQ253="5",BJ253,0)</f>
        <v>0</v>
      </c>
      <c r="AB253" s="32">
        <f>IF(AQ253="1",BH253,0)</f>
        <v>0</v>
      </c>
      <c r="AC253" s="32">
        <f>IF(AQ253="1",BI253,0)</f>
        <v>0</v>
      </c>
      <c r="AD253" s="32">
        <f>IF(AQ253="7",BH253,0)</f>
        <v>0</v>
      </c>
      <c r="AE253" s="32">
        <f>IF(AQ253="7",BI253,0)</f>
        <v>0</v>
      </c>
      <c r="AF253" s="32">
        <f>IF(AQ253="2",BH253,0)</f>
        <v>0</v>
      </c>
      <c r="AG253" s="32">
        <f>IF(AQ253="2",BI253,0)</f>
        <v>0</v>
      </c>
      <c r="AH253" s="32">
        <f>IF(AQ253="0",BJ253,0)</f>
        <v>0</v>
      </c>
      <c r="AI253" s="28"/>
      <c r="AJ253" s="17">
        <f>IF(AN253=0,K253,0)</f>
        <v>0</v>
      </c>
      <c r="AK253" s="17">
        <f>IF(AN253=15,K253,0)</f>
        <v>0</v>
      </c>
      <c r="AL253" s="17">
        <f>IF(AN253=21,K253,0)</f>
        <v>0</v>
      </c>
      <c r="AN253" s="32">
        <v>21</v>
      </c>
      <c r="AO253" s="32">
        <f>H253*1</f>
        <v>0</v>
      </c>
      <c r="AP253" s="32">
        <f>H253*(1-1)</f>
        <v>0</v>
      </c>
      <c r="AQ253" s="29" t="s">
        <v>13</v>
      </c>
      <c r="AV253" s="32">
        <f>AW253+AX253</f>
        <v>0</v>
      </c>
      <c r="AW253" s="32">
        <f>G253*AO253</f>
        <v>0</v>
      </c>
      <c r="AX253" s="32">
        <f>G253*AP253</f>
        <v>0</v>
      </c>
      <c r="AY253" s="33" t="s">
        <v>675</v>
      </c>
      <c r="AZ253" s="33" t="s">
        <v>689</v>
      </c>
      <c r="BA253" s="28" t="s">
        <v>692</v>
      </c>
      <c r="BC253" s="32">
        <f>AW253+AX253</f>
        <v>0</v>
      </c>
      <c r="BD253" s="32">
        <f>H253/(100-BE253)*100</f>
        <v>0</v>
      </c>
      <c r="BE253" s="32">
        <v>0</v>
      </c>
      <c r="BF253" s="32">
        <f>251</f>
        <v>251</v>
      </c>
      <c r="BH253" s="17">
        <f>G253*AO253</f>
        <v>0</v>
      </c>
      <c r="BI253" s="17">
        <f>G253*AP253</f>
        <v>0</v>
      </c>
      <c r="BJ253" s="17">
        <f>G253*H253</f>
        <v>0</v>
      </c>
    </row>
    <row r="254" spans="1:62" x14ac:dyDescent="0.2">
      <c r="C254" s="58" t="s">
        <v>499</v>
      </c>
      <c r="D254" s="59"/>
      <c r="E254" s="59"/>
      <c r="G254" s="16">
        <v>2</v>
      </c>
    </row>
    <row r="255" spans="1:62" x14ac:dyDescent="0.2">
      <c r="A255" s="6" t="s">
        <v>84</v>
      </c>
      <c r="B255" s="6" t="s">
        <v>218</v>
      </c>
      <c r="C255" s="68" t="s">
        <v>500</v>
      </c>
      <c r="D255" s="69"/>
      <c r="E255" s="69"/>
      <c r="F255" s="6" t="s">
        <v>629</v>
      </c>
      <c r="G255" s="17">
        <v>1</v>
      </c>
      <c r="H255" s="17">
        <v>0</v>
      </c>
      <c r="I255" s="17">
        <f>G255*AO255</f>
        <v>0</v>
      </c>
      <c r="J255" s="17">
        <f>G255*AP255</f>
        <v>0</v>
      </c>
      <c r="K255" s="17">
        <f>G255*H255</f>
        <v>0</v>
      </c>
      <c r="L255" s="29" t="s">
        <v>650</v>
      </c>
      <c r="Z255" s="32">
        <f>IF(AQ255="5",BJ255,0)</f>
        <v>0</v>
      </c>
      <c r="AB255" s="32">
        <f>IF(AQ255="1",BH255,0)</f>
        <v>0</v>
      </c>
      <c r="AC255" s="32">
        <f>IF(AQ255="1",BI255,0)</f>
        <v>0</v>
      </c>
      <c r="AD255" s="32">
        <f>IF(AQ255="7",BH255,0)</f>
        <v>0</v>
      </c>
      <c r="AE255" s="32">
        <f>IF(AQ255="7",BI255,0)</f>
        <v>0</v>
      </c>
      <c r="AF255" s="32">
        <f>IF(AQ255="2",BH255,0)</f>
        <v>0</v>
      </c>
      <c r="AG255" s="32">
        <f>IF(AQ255="2",BI255,0)</f>
        <v>0</v>
      </c>
      <c r="AH255" s="32">
        <f>IF(AQ255="0",BJ255,0)</f>
        <v>0</v>
      </c>
      <c r="AI255" s="28"/>
      <c r="AJ255" s="17">
        <f>IF(AN255=0,K255,0)</f>
        <v>0</v>
      </c>
      <c r="AK255" s="17">
        <f>IF(AN255=15,K255,0)</f>
        <v>0</v>
      </c>
      <c r="AL255" s="17">
        <f>IF(AN255=21,K255,0)</f>
        <v>0</v>
      </c>
      <c r="AN255" s="32">
        <v>21</v>
      </c>
      <c r="AO255" s="32">
        <f>H255*1</f>
        <v>0</v>
      </c>
      <c r="AP255" s="32">
        <f>H255*(1-1)</f>
        <v>0</v>
      </c>
      <c r="AQ255" s="29" t="s">
        <v>13</v>
      </c>
      <c r="AV255" s="32">
        <f>AW255+AX255</f>
        <v>0</v>
      </c>
      <c r="AW255" s="32">
        <f>G255*AO255</f>
        <v>0</v>
      </c>
      <c r="AX255" s="32">
        <f>G255*AP255</f>
        <v>0</v>
      </c>
      <c r="AY255" s="33" t="s">
        <v>675</v>
      </c>
      <c r="AZ255" s="33" t="s">
        <v>689</v>
      </c>
      <c r="BA255" s="28" t="s">
        <v>692</v>
      </c>
      <c r="BC255" s="32">
        <f>AW255+AX255</f>
        <v>0</v>
      </c>
      <c r="BD255" s="32">
        <f>H255/(100-BE255)*100</f>
        <v>0</v>
      </c>
      <c r="BE255" s="32">
        <v>0</v>
      </c>
      <c r="BF255" s="32">
        <f>253</f>
        <v>253</v>
      </c>
      <c r="BH255" s="17">
        <f>G255*AO255</f>
        <v>0</v>
      </c>
      <c r="BI255" s="17">
        <f>G255*AP255</f>
        <v>0</v>
      </c>
      <c r="BJ255" s="17">
        <f>G255*H255</f>
        <v>0</v>
      </c>
    </row>
    <row r="256" spans="1:62" x14ac:dyDescent="0.2">
      <c r="C256" s="58" t="s">
        <v>501</v>
      </c>
      <c r="D256" s="59"/>
      <c r="E256" s="59"/>
      <c r="G256" s="16">
        <v>1</v>
      </c>
    </row>
    <row r="257" spans="1:62" x14ac:dyDescent="0.2">
      <c r="A257" s="6" t="s">
        <v>85</v>
      </c>
      <c r="B257" s="6" t="s">
        <v>219</v>
      </c>
      <c r="C257" s="68" t="s">
        <v>502</v>
      </c>
      <c r="D257" s="69"/>
      <c r="E257" s="69"/>
      <c r="F257" s="6" t="s">
        <v>629</v>
      </c>
      <c r="G257" s="17">
        <v>1</v>
      </c>
      <c r="H257" s="17">
        <v>0</v>
      </c>
      <c r="I257" s="17">
        <f>G257*AO257</f>
        <v>0</v>
      </c>
      <c r="J257" s="17">
        <f>G257*AP257</f>
        <v>0</v>
      </c>
      <c r="K257" s="17">
        <f>G257*H257</f>
        <v>0</v>
      </c>
      <c r="L257" s="29"/>
      <c r="Z257" s="32">
        <f>IF(AQ257="5",BJ257,0)</f>
        <v>0</v>
      </c>
      <c r="AB257" s="32">
        <f>IF(AQ257="1",BH257,0)</f>
        <v>0</v>
      </c>
      <c r="AC257" s="32">
        <f>IF(AQ257="1",BI257,0)</f>
        <v>0</v>
      </c>
      <c r="AD257" s="32">
        <f>IF(AQ257="7",BH257,0)</f>
        <v>0</v>
      </c>
      <c r="AE257" s="32">
        <f>IF(AQ257="7",BI257,0)</f>
        <v>0</v>
      </c>
      <c r="AF257" s="32">
        <f>IF(AQ257="2",BH257,0)</f>
        <v>0</v>
      </c>
      <c r="AG257" s="32">
        <f>IF(AQ257="2",BI257,0)</f>
        <v>0</v>
      </c>
      <c r="AH257" s="32">
        <f>IF(AQ257="0",BJ257,0)</f>
        <v>0</v>
      </c>
      <c r="AI257" s="28"/>
      <c r="AJ257" s="17">
        <f>IF(AN257=0,K257,0)</f>
        <v>0</v>
      </c>
      <c r="AK257" s="17">
        <f>IF(AN257=15,K257,0)</f>
        <v>0</v>
      </c>
      <c r="AL257" s="17">
        <f>IF(AN257=21,K257,0)</f>
        <v>0</v>
      </c>
      <c r="AN257" s="32">
        <v>21</v>
      </c>
      <c r="AO257" s="32">
        <f>H257*1</f>
        <v>0</v>
      </c>
      <c r="AP257" s="32">
        <f>H257*(1-1)</f>
        <v>0</v>
      </c>
      <c r="AQ257" s="29" t="s">
        <v>13</v>
      </c>
      <c r="AV257" s="32">
        <f>AW257+AX257</f>
        <v>0</v>
      </c>
      <c r="AW257" s="32">
        <f>G257*AO257</f>
        <v>0</v>
      </c>
      <c r="AX257" s="32">
        <f>G257*AP257</f>
        <v>0</v>
      </c>
      <c r="AY257" s="33" t="s">
        <v>675</v>
      </c>
      <c r="AZ257" s="33" t="s">
        <v>689</v>
      </c>
      <c r="BA257" s="28" t="s">
        <v>692</v>
      </c>
      <c r="BC257" s="32">
        <f>AW257+AX257</f>
        <v>0</v>
      </c>
      <c r="BD257" s="32">
        <f>H257/(100-BE257)*100</f>
        <v>0</v>
      </c>
      <c r="BE257" s="32">
        <v>0</v>
      </c>
      <c r="BF257" s="32">
        <f>255</f>
        <v>255</v>
      </c>
      <c r="BH257" s="17">
        <f>G257*AO257</f>
        <v>0</v>
      </c>
      <c r="BI257" s="17">
        <f>G257*AP257</f>
        <v>0</v>
      </c>
      <c r="BJ257" s="17">
        <f>G257*H257</f>
        <v>0</v>
      </c>
    </row>
    <row r="258" spans="1:62" x14ac:dyDescent="0.2">
      <c r="C258" s="58" t="s">
        <v>503</v>
      </c>
      <c r="D258" s="59"/>
      <c r="E258" s="59"/>
      <c r="G258" s="16">
        <v>1</v>
      </c>
    </row>
    <row r="259" spans="1:62" x14ac:dyDescent="0.2">
      <c r="A259" s="6" t="s">
        <v>86</v>
      </c>
      <c r="B259" s="6" t="s">
        <v>220</v>
      </c>
      <c r="C259" s="68" t="s">
        <v>504</v>
      </c>
      <c r="D259" s="69"/>
      <c r="E259" s="69"/>
      <c r="F259" s="6" t="s">
        <v>629</v>
      </c>
      <c r="G259" s="17">
        <v>1</v>
      </c>
      <c r="H259" s="17">
        <v>0</v>
      </c>
      <c r="I259" s="17">
        <f>G259*AO259</f>
        <v>0</v>
      </c>
      <c r="J259" s="17">
        <f>G259*AP259</f>
        <v>0</v>
      </c>
      <c r="K259" s="17">
        <f>G259*H259</f>
        <v>0</v>
      </c>
      <c r="L259" s="29"/>
      <c r="Z259" s="32">
        <f>IF(AQ259="5",BJ259,0)</f>
        <v>0</v>
      </c>
      <c r="AB259" s="32">
        <f>IF(AQ259="1",BH259,0)</f>
        <v>0</v>
      </c>
      <c r="AC259" s="32">
        <f>IF(AQ259="1",BI259,0)</f>
        <v>0</v>
      </c>
      <c r="AD259" s="32">
        <f>IF(AQ259="7",BH259,0)</f>
        <v>0</v>
      </c>
      <c r="AE259" s="32">
        <f>IF(AQ259="7",BI259,0)</f>
        <v>0</v>
      </c>
      <c r="AF259" s="32">
        <f>IF(AQ259="2",BH259,0)</f>
        <v>0</v>
      </c>
      <c r="AG259" s="32">
        <f>IF(AQ259="2",BI259,0)</f>
        <v>0</v>
      </c>
      <c r="AH259" s="32">
        <f>IF(AQ259="0",BJ259,0)</f>
        <v>0</v>
      </c>
      <c r="AI259" s="28"/>
      <c r="AJ259" s="17">
        <f>IF(AN259=0,K259,0)</f>
        <v>0</v>
      </c>
      <c r="AK259" s="17">
        <f>IF(AN259=15,K259,0)</f>
        <v>0</v>
      </c>
      <c r="AL259" s="17">
        <f>IF(AN259=21,K259,0)</f>
        <v>0</v>
      </c>
      <c r="AN259" s="32">
        <v>21</v>
      </c>
      <c r="AO259" s="32">
        <f>H259*1</f>
        <v>0</v>
      </c>
      <c r="AP259" s="32">
        <f>H259*(1-1)</f>
        <v>0</v>
      </c>
      <c r="AQ259" s="29" t="s">
        <v>13</v>
      </c>
      <c r="AV259" s="32">
        <f>AW259+AX259</f>
        <v>0</v>
      </c>
      <c r="AW259" s="32">
        <f>G259*AO259</f>
        <v>0</v>
      </c>
      <c r="AX259" s="32">
        <f>G259*AP259</f>
        <v>0</v>
      </c>
      <c r="AY259" s="33" t="s">
        <v>675</v>
      </c>
      <c r="AZ259" s="33" t="s">
        <v>689</v>
      </c>
      <c r="BA259" s="28" t="s">
        <v>692</v>
      </c>
      <c r="BC259" s="32">
        <f>AW259+AX259</f>
        <v>0</v>
      </c>
      <c r="BD259" s="32">
        <f>H259/(100-BE259)*100</f>
        <v>0</v>
      </c>
      <c r="BE259" s="32">
        <v>0</v>
      </c>
      <c r="BF259" s="32">
        <f>257</f>
        <v>257</v>
      </c>
      <c r="BH259" s="17">
        <f>G259*AO259</f>
        <v>0</v>
      </c>
      <c r="BI259" s="17">
        <f>G259*AP259</f>
        <v>0</v>
      </c>
      <c r="BJ259" s="17">
        <f>G259*H259</f>
        <v>0</v>
      </c>
    </row>
    <row r="260" spans="1:62" x14ac:dyDescent="0.2">
      <c r="C260" s="58" t="s">
        <v>505</v>
      </c>
      <c r="D260" s="59"/>
      <c r="E260" s="59"/>
      <c r="G260" s="16">
        <v>1</v>
      </c>
    </row>
    <row r="261" spans="1:62" x14ac:dyDescent="0.2">
      <c r="A261" s="6" t="s">
        <v>87</v>
      </c>
      <c r="B261" s="6" t="s">
        <v>221</v>
      </c>
      <c r="C261" s="68" t="s">
        <v>506</v>
      </c>
      <c r="D261" s="69"/>
      <c r="E261" s="69"/>
      <c r="F261" s="6" t="s">
        <v>629</v>
      </c>
      <c r="G261" s="17">
        <v>1</v>
      </c>
      <c r="H261" s="17">
        <v>0</v>
      </c>
      <c r="I261" s="17">
        <f>G261*AO261</f>
        <v>0</v>
      </c>
      <c r="J261" s="17">
        <f>G261*AP261</f>
        <v>0</v>
      </c>
      <c r="K261" s="17">
        <f>G261*H261</f>
        <v>0</v>
      </c>
      <c r="L261" s="29"/>
      <c r="Z261" s="32">
        <f>IF(AQ261="5",BJ261,0)</f>
        <v>0</v>
      </c>
      <c r="AB261" s="32">
        <f>IF(AQ261="1",BH261,0)</f>
        <v>0</v>
      </c>
      <c r="AC261" s="32">
        <f>IF(AQ261="1",BI261,0)</f>
        <v>0</v>
      </c>
      <c r="AD261" s="32">
        <f>IF(AQ261="7",BH261,0)</f>
        <v>0</v>
      </c>
      <c r="AE261" s="32">
        <f>IF(AQ261="7",BI261,0)</f>
        <v>0</v>
      </c>
      <c r="AF261" s="32">
        <f>IF(AQ261="2",BH261,0)</f>
        <v>0</v>
      </c>
      <c r="AG261" s="32">
        <f>IF(AQ261="2",BI261,0)</f>
        <v>0</v>
      </c>
      <c r="AH261" s="32">
        <f>IF(AQ261="0",BJ261,0)</f>
        <v>0</v>
      </c>
      <c r="AI261" s="28"/>
      <c r="AJ261" s="17">
        <f>IF(AN261=0,K261,0)</f>
        <v>0</v>
      </c>
      <c r="AK261" s="17">
        <f>IF(AN261=15,K261,0)</f>
        <v>0</v>
      </c>
      <c r="AL261" s="17">
        <f>IF(AN261=21,K261,0)</f>
        <v>0</v>
      </c>
      <c r="AN261" s="32">
        <v>21</v>
      </c>
      <c r="AO261" s="32">
        <f>H261*1</f>
        <v>0</v>
      </c>
      <c r="AP261" s="32">
        <f>H261*(1-1)</f>
        <v>0</v>
      </c>
      <c r="AQ261" s="29" t="s">
        <v>13</v>
      </c>
      <c r="AV261" s="32">
        <f>AW261+AX261</f>
        <v>0</v>
      </c>
      <c r="AW261" s="32">
        <f>G261*AO261</f>
        <v>0</v>
      </c>
      <c r="AX261" s="32">
        <f>G261*AP261</f>
        <v>0</v>
      </c>
      <c r="AY261" s="33" t="s">
        <v>675</v>
      </c>
      <c r="AZ261" s="33" t="s">
        <v>689</v>
      </c>
      <c r="BA261" s="28" t="s">
        <v>692</v>
      </c>
      <c r="BC261" s="32">
        <f>AW261+AX261</f>
        <v>0</v>
      </c>
      <c r="BD261" s="32">
        <f>H261/(100-BE261)*100</f>
        <v>0</v>
      </c>
      <c r="BE261" s="32">
        <v>0</v>
      </c>
      <c r="BF261" s="32">
        <f>259</f>
        <v>259</v>
      </c>
      <c r="BH261" s="17">
        <f>G261*AO261</f>
        <v>0</v>
      </c>
      <c r="BI261" s="17">
        <f>G261*AP261</f>
        <v>0</v>
      </c>
      <c r="BJ261" s="17">
        <f>G261*H261</f>
        <v>0</v>
      </c>
    </row>
    <row r="262" spans="1:62" x14ac:dyDescent="0.2">
      <c r="C262" s="58" t="s">
        <v>507</v>
      </c>
      <c r="D262" s="59"/>
      <c r="E262" s="59"/>
      <c r="G262" s="16">
        <v>1</v>
      </c>
    </row>
    <row r="263" spans="1:62" x14ac:dyDescent="0.2">
      <c r="A263" s="4" t="s">
        <v>88</v>
      </c>
      <c r="B263" s="4" t="s">
        <v>222</v>
      </c>
      <c r="C263" s="56" t="s">
        <v>508</v>
      </c>
      <c r="D263" s="57"/>
      <c r="E263" s="57"/>
      <c r="F263" s="4" t="s">
        <v>630</v>
      </c>
      <c r="G263" s="15">
        <v>10.59487</v>
      </c>
      <c r="H263" s="15">
        <v>0</v>
      </c>
      <c r="I263" s="15">
        <f>G263*AO263</f>
        <v>0</v>
      </c>
      <c r="J263" s="15">
        <f>G263*AP263</f>
        <v>0</v>
      </c>
      <c r="K263" s="15">
        <f>G263*H263</f>
        <v>0</v>
      </c>
      <c r="L263" s="27" t="s">
        <v>648</v>
      </c>
      <c r="Z263" s="32">
        <f>IF(AQ263="5",BJ263,0)</f>
        <v>0</v>
      </c>
      <c r="AB263" s="32">
        <f>IF(AQ263="1",BH263,0)</f>
        <v>0</v>
      </c>
      <c r="AC263" s="32">
        <f>IF(AQ263="1",BI263,0)</f>
        <v>0</v>
      </c>
      <c r="AD263" s="32">
        <f>IF(AQ263="7",BH263,0)</f>
        <v>0</v>
      </c>
      <c r="AE263" s="32">
        <f>IF(AQ263="7",BI263,0)</f>
        <v>0</v>
      </c>
      <c r="AF263" s="32">
        <f>IF(AQ263="2",BH263,0)</f>
        <v>0</v>
      </c>
      <c r="AG263" s="32">
        <f>IF(AQ263="2",BI263,0)</f>
        <v>0</v>
      </c>
      <c r="AH263" s="32">
        <f>IF(AQ263="0",BJ263,0)</f>
        <v>0</v>
      </c>
      <c r="AI263" s="28"/>
      <c r="AJ263" s="15">
        <f>IF(AN263=0,K263,0)</f>
        <v>0</v>
      </c>
      <c r="AK263" s="15">
        <f>IF(AN263=15,K263,0)</f>
        <v>0</v>
      </c>
      <c r="AL263" s="15">
        <f>IF(AN263=21,K263,0)</f>
        <v>0</v>
      </c>
      <c r="AN263" s="32">
        <v>21</v>
      </c>
      <c r="AO263" s="32">
        <f>H263*0</f>
        <v>0</v>
      </c>
      <c r="AP263" s="32">
        <f>H263*(1-0)</f>
        <v>0</v>
      </c>
      <c r="AQ263" s="27" t="s">
        <v>11</v>
      </c>
      <c r="AV263" s="32">
        <f>AW263+AX263</f>
        <v>0</v>
      </c>
      <c r="AW263" s="32">
        <f>G263*AO263</f>
        <v>0</v>
      </c>
      <c r="AX263" s="32">
        <f>G263*AP263</f>
        <v>0</v>
      </c>
      <c r="AY263" s="33" t="s">
        <v>675</v>
      </c>
      <c r="AZ263" s="33" t="s">
        <v>689</v>
      </c>
      <c r="BA263" s="28" t="s">
        <v>692</v>
      </c>
      <c r="BC263" s="32">
        <f>AW263+AX263</f>
        <v>0</v>
      </c>
      <c r="BD263" s="32">
        <f>H263/(100-BE263)*100</f>
        <v>0</v>
      </c>
      <c r="BE263" s="32">
        <v>0</v>
      </c>
      <c r="BF263" s="32">
        <f>261</f>
        <v>261</v>
      </c>
      <c r="BH263" s="15">
        <f>G263*AO263</f>
        <v>0</v>
      </c>
      <c r="BI263" s="15">
        <f>G263*AP263</f>
        <v>0</v>
      </c>
      <c r="BJ263" s="15">
        <f>G263*H263</f>
        <v>0</v>
      </c>
    </row>
    <row r="264" spans="1:62" x14ac:dyDescent="0.2">
      <c r="C264" s="58" t="s">
        <v>509</v>
      </c>
      <c r="D264" s="59"/>
      <c r="E264" s="59"/>
      <c r="G264" s="16">
        <v>10.59487</v>
      </c>
    </row>
    <row r="265" spans="1:62" x14ac:dyDescent="0.2">
      <c r="A265" s="5"/>
      <c r="B265" s="13" t="s">
        <v>223</v>
      </c>
      <c r="C265" s="66" t="s">
        <v>510</v>
      </c>
      <c r="D265" s="67"/>
      <c r="E265" s="67"/>
      <c r="F265" s="5" t="s">
        <v>6</v>
      </c>
      <c r="G265" s="5" t="s">
        <v>6</v>
      </c>
      <c r="H265" s="5" t="s">
        <v>6</v>
      </c>
      <c r="I265" s="35">
        <f>SUM(I266:I277)</f>
        <v>0</v>
      </c>
      <c r="J265" s="35">
        <f>SUM(J266:J277)</f>
        <v>0</v>
      </c>
      <c r="K265" s="35">
        <f>SUM(K266:K277)</f>
        <v>0</v>
      </c>
      <c r="L265" s="28"/>
      <c r="AI265" s="28"/>
      <c r="AS265" s="35">
        <f>SUM(AJ266:AJ277)</f>
        <v>0</v>
      </c>
      <c r="AT265" s="35">
        <f>SUM(AK266:AK277)</f>
        <v>0</v>
      </c>
      <c r="AU265" s="35">
        <f>SUM(AL266:AL277)</f>
        <v>0</v>
      </c>
    </row>
    <row r="266" spans="1:62" x14ac:dyDescent="0.2">
      <c r="A266" s="4" t="s">
        <v>89</v>
      </c>
      <c r="B266" s="4" t="s">
        <v>224</v>
      </c>
      <c r="C266" s="56" t="s">
        <v>511</v>
      </c>
      <c r="D266" s="57"/>
      <c r="E266" s="57"/>
      <c r="F266" s="4" t="s">
        <v>629</v>
      </c>
      <c r="G266" s="15">
        <v>2</v>
      </c>
      <c r="H266" s="15">
        <v>0</v>
      </c>
      <c r="I266" s="15">
        <f>G266*AO266</f>
        <v>0</v>
      </c>
      <c r="J266" s="15">
        <f>G266*AP266</f>
        <v>0</v>
      </c>
      <c r="K266" s="15">
        <f>G266*H266</f>
        <v>0</v>
      </c>
      <c r="L266" s="27"/>
      <c r="Z266" s="32">
        <f>IF(AQ266="5",BJ266,0)</f>
        <v>0</v>
      </c>
      <c r="AB266" s="32">
        <f>IF(AQ266="1",BH266,0)</f>
        <v>0</v>
      </c>
      <c r="AC266" s="32">
        <f>IF(AQ266="1",BI266,0)</f>
        <v>0</v>
      </c>
      <c r="AD266" s="32">
        <f>IF(AQ266="7",BH266,0)</f>
        <v>0</v>
      </c>
      <c r="AE266" s="32">
        <f>IF(AQ266="7",BI266,0)</f>
        <v>0</v>
      </c>
      <c r="AF266" s="32">
        <f>IF(AQ266="2",BH266,0)</f>
        <v>0</v>
      </c>
      <c r="AG266" s="32">
        <f>IF(AQ266="2",BI266,0)</f>
        <v>0</v>
      </c>
      <c r="AH266" s="32">
        <f>IF(AQ266="0",BJ266,0)</f>
        <v>0</v>
      </c>
      <c r="AI266" s="28"/>
      <c r="AJ266" s="15">
        <f>IF(AN266=0,K266,0)</f>
        <v>0</v>
      </c>
      <c r="AK266" s="15">
        <f>IF(AN266=15,K266,0)</f>
        <v>0</v>
      </c>
      <c r="AL266" s="15">
        <f>IF(AN266=21,K266,0)</f>
        <v>0</v>
      </c>
      <c r="AN266" s="32">
        <v>21</v>
      </c>
      <c r="AO266" s="32">
        <f>H266*0.333334</f>
        <v>0</v>
      </c>
      <c r="AP266" s="32">
        <f>H266*(1-0.333334)</f>
        <v>0</v>
      </c>
      <c r="AQ266" s="27" t="s">
        <v>13</v>
      </c>
      <c r="AV266" s="32">
        <f>AW266+AX266</f>
        <v>0</v>
      </c>
      <c r="AW266" s="32">
        <f>G266*AO266</f>
        <v>0</v>
      </c>
      <c r="AX266" s="32">
        <f>G266*AP266</f>
        <v>0</v>
      </c>
      <c r="AY266" s="33" t="s">
        <v>676</v>
      </c>
      <c r="AZ266" s="33" t="s">
        <v>689</v>
      </c>
      <c r="BA266" s="28" t="s">
        <v>692</v>
      </c>
      <c r="BC266" s="32">
        <f>AW266+AX266</f>
        <v>0</v>
      </c>
      <c r="BD266" s="32">
        <f>H266/(100-BE266)*100</f>
        <v>0</v>
      </c>
      <c r="BE266" s="32">
        <v>0</v>
      </c>
      <c r="BF266" s="32">
        <f>264</f>
        <v>264</v>
      </c>
      <c r="BH266" s="15">
        <f>G266*AO266</f>
        <v>0</v>
      </c>
      <c r="BI266" s="15">
        <f>G266*AP266</f>
        <v>0</v>
      </c>
      <c r="BJ266" s="15">
        <f>G266*H266</f>
        <v>0</v>
      </c>
    </row>
    <row r="267" spans="1:62" x14ac:dyDescent="0.2">
      <c r="C267" s="58" t="s">
        <v>512</v>
      </c>
      <c r="D267" s="59"/>
      <c r="E267" s="59"/>
      <c r="G267" s="16">
        <v>2</v>
      </c>
    </row>
    <row r="268" spans="1:62" x14ac:dyDescent="0.2">
      <c r="A268" s="4" t="s">
        <v>90</v>
      </c>
      <c r="B268" s="4" t="s">
        <v>225</v>
      </c>
      <c r="C268" s="56" t="s">
        <v>513</v>
      </c>
      <c r="D268" s="57"/>
      <c r="E268" s="57"/>
      <c r="F268" s="4" t="s">
        <v>629</v>
      </c>
      <c r="G268" s="15">
        <v>2</v>
      </c>
      <c r="H268" s="15">
        <v>0</v>
      </c>
      <c r="I268" s="15">
        <f>G268*AO268</f>
        <v>0</v>
      </c>
      <c r="J268" s="15">
        <f>G268*AP268</f>
        <v>0</v>
      </c>
      <c r="K268" s="15">
        <f>G268*H268</f>
        <v>0</v>
      </c>
      <c r="L268" s="27"/>
      <c r="Z268" s="32">
        <f>IF(AQ268="5",BJ268,0)</f>
        <v>0</v>
      </c>
      <c r="AB268" s="32">
        <f>IF(AQ268="1",BH268,0)</f>
        <v>0</v>
      </c>
      <c r="AC268" s="32">
        <f>IF(AQ268="1",BI268,0)</f>
        <v>0</v>
      </c>
      <c r="AD268" s="32">
        <f>IF(AQ268="7",BH268,0)</f>
        <v>0</v>
      </c>
      <c r="AE268" s="32">
        <f>IF(AQ268="7",BI268,0)</f>
        <v>0</v>
      </c>
      <c r="AF268" s="32">
        <f>IF(AQ268="2",BH268,0)</f>
        <v>0</v>
      </c>
      <c r="AG268" s="32">
        <f>IF(AQ268="2",BI268,0)</f>
        <v>0</v>
      </c>
      <c r="AH268" s="32">
        <f>IF(AQ268="0",BJ268,0)</f>
        <v>0</v>
      </c>
      <c r="AI268" s="28"/>
      <c r="AJ268" s="15">
        <f>IF(AN268=0,K268,0)</f>
        <v>0</v>
      </c>
      <c r="AK268" s="15">
        <f>IF(AN268=15,K268,0)</f>
        <v>0</v>
      </c>
      <c r="AL268" s="15">
        <f>IF(AN268=21,K268,0)</f>
        <v>0</v>
      </c>
      <c r="AN268" s="32">
        <v>21</v>
      </c>
      <c r="AO268" s="32">
        <f>H268*0.75</f>
        <v>0</v>
      </c>
      <c r="AP268" s="32">
        <f>H268*(1-0.75)</f>
        <v>0</v>
      </c>
      <c r="AQ268" s="27" t="s">
        <v>13</v>
      </c>
      <c r="AV268" s="32">
        <f>AW268+AX268</f>
        <v>0</v>
      </c>
      <c r="AW268" s="32">
        <f>G268*AO268</f>
        <v>0</v>
      </c>
      <c r="AX268" s="32">
        <f>G268*AP268</f>
        <v>0</v>
      </c>
      <c r="AY268" s="33" t="s">
        <v>676</v>
      </c>
      <c r="AZ268" s="33" t="s">
        <v>689</v>
      </c>
      <c r="BA268" s="28" t="s">
        <v>692</v>
      </c>
      <c r="BC268" s="32">
        <f>AW268+AX268</f>
        <v>0</v>
      </c>
      <c r="BD268" s="32">
        <f>H268/(100-BE268)*100</f>
        <v>0</v>
      </c>
      <c r="BE268" s="32">
        <v>0</v>
      </c>
      <c r="BF268" s="32">
        <f>266</f>
        <v>266</v>
      </c>
      <c r="BH268" s="15">
        <f>G268*AO268</f>
        <v>0</v>
      </c>
      <c r="BI268" s="15">
        <f>G268*AP268</f>
        <v>0</v>
      </c>
      <c r="BJ268" s="15">
        <f>G268*H268</f>
        <v>0</v>
      </c>
    </row>
    <row r="269" spans="1:62" x14ac:dyDescent="0.2">
      <c r="C269" s="58" t="s">
        <v>514</v>
      </c>
      <c r="D269" s="59"/>
      <c r="E269" s="59"/>
      <c r="G269" s="16">
        <v>1</v>
      </c>
    </row>
    <row r="270" spans="1:62" x14ac:dyDescent="0.2">
      <c r="C270" s="58" t="s">
        <v>515</v>
      </c>
      <c r="D270" s="59"/>
      <c r="E270" s="59"/>
      <c r="G270" s="16">
        <v>1</v>
      </c>
    </row>
    <row r="271" spans="1:62" x14ac:dyDescent="0.2">
      <c r="A271" s="4" t="s">
        <v>91</v>
      </c>
      <c r="B271" s="4" t="s">
        <v>226</v>
      </c>
      <c r="C271" s="56" t="s">
        <v>516</v>
      </c>
      <c r="D271" s="57"/>
      <c r="E271" s="57"/>
      <c r="F271" s="4" t="s">
        <v>629</v>
      </c>
      <c r="G271" s="15">
        <v>9</v>
      </c>
      <c r="H271" s="15">
        <v>0</v>
      </c>
      <c r="I271" s="15">
        <f>G271*AO271</f>
        <v>0</v>
      </c>
      <c r="J271" s="15">
        <f>G271*AP271</f>
        <v>0</v>
      </c>
      <c r="K271" s="15">
        <f>G271*H271</f>
        <v>0</v>
      </c>
      <c r="L271" s="27"/>
      <c r="Z271" s="32">
        <f>IF(AQ271="5",BJ271,0)</f>
        <v>0</v>
      </c>
      <c r="AB271" s="32">
        <f>IF(AQ271="1",BH271,0)</f>
        <v>0</v>
      </c>
      <c r="AC271" s="32">
        <f>IF(AQ271="1",BI271,0)</f>
        <v>0</v>
      </c>
      <c r="AD271" s="32">
        <f>IF(AQ271="7",BH271,0)</f>
        <v>0</v>
      </c>
      <c r="AE271" s="32">
        <f>IF(AQ271="7",BI271,0)</f>
        <v>0</v>
      </c>
      <c r="AF271" s="32">
        <f>IF(AQ271="2",BH271,0)</f>
        <v>0</v>
      </c>
      <c r="AG271" s="32">
        <f>IF(AQ271="2",BI271,0)</f>
        <v>0</v>
      </c>
      <c r="AH271" s="32">
        <f>IF(AQ271="0",BJ271,0)</f>
        <v>0</v>
      </c>
      <c r="AI271" s="28"/>
      <c r="AJ271" s="15">
        <f>IF(AN271=0,K271,0)</f>
        <v>0</v>
      </c>
      <c r="AK271" s="15">
        <f>IF(AN271=15,K271,0)</f>
        <v>0</v>
      </c>
      <c r="AL271" s="15">
        <f>IF(AN271=21,K271,0)</f>
        <v>0</v>
      </c>
      <c r="AN271" s="32">
        <v>21</v>
      </c>
      <c r="AO271" s="32">
        <f>H271*0</f>
        <v>0</v>
      </c>
      <c r="AP271" s="32">
        <f>H271*(1-0)</f>
        <v>0</v>
      </c>
      <c r="AQ271" s="27" t="s">
        <v>13</v>
      </c>
      <c r="AV271" s="32">
        <f>AW271+AX271</f>
        <v>0</v>
      </c>
      <c r="AW271" s="32">
        <f>G271*AO271</f>
        <v>0</v>
      </c>
      <c r="AX271" s="32">
        <f>G271*AP271</f>
        <v>0</v>
      </c>
      <c r="AY271" s="33" t="s">
        <v>676</v>
      </c>
      <c r="AZ271" s="33" t="s">
        <v>689</v>
      </c>
      <c r="BA271" s="28" t="s">
        <v>692</v>
      </c>
      <c r="BC271" s="32">
        <f>AW271+AX271</f>
        <v>0</v>
      </c>
      <c r="BD271" s="32">
        <f>H271/(100-BE271)*100</f>
        <v>0</v>
      </c>
      <c r="BE271" s="32">
        <v>0</v>
      </c>
      <c r="BF271" s="32">
        <f>269</f>
        <v>269</v>
      </c>
      <c r="BH271" s="15">
        <f>G271*AO271</f>
        <v>0</v>
      </c>
      <c r="BI271" s="15">
        <f>G271*AP271</f>
        <v>0</v>
      </c>
      <c r="BJ271" s="15">
        <f>G271*H271</f>
        <v>0</v>
      </c>
    </row>
    <row r="272" spans="1:62" x14ac:dyDescent="0.2">
      <c r="C272" s="58" t="s">
        <v>517</v>
      </c>
      <c r="D272" s="59"/>
      <c r="E272" s="59"/>
      <c r="G272" s="16">
        <v>9</v>
      </c>
    </row>
    <row r="273" spans="1:62" x14ac:dyDescent="0.2">
      <c r="A273" s="4" t="s">
        <v>92</v>
      </c>
      <c r="B273" s="4" t="s">
        <v>227</v>
      </c>
      <c r="C273" s="56" t="s">
        <v>518</v>
      </c>
      <c r="D273" s="57"/>
      <c r="E273" s="57"/>
      <c r="F273" s="4" t="s">
        <v>629</v>
      </c>
      <c r="G273" s="15">
        <v>2</v>
      </c>
      <c r="H273" s="15">
        <v>0</v>
      </c>
      <c r="I273" s="15">
        <f>G273*AO273</f>
        <v>0</v>
      </c>
      <c r="J273" s="15">
        <f>G273*AP273</f>
        <v>0</v>
      </c>
      <c r="K273" s="15">
        <f>G273*H273</f>
        <v>0</v>
      </c>
      <c r="L273" s="27" t="s">
        <v>648</v>
      </c>
      <c r="Z273" s="32">
        <f>IF(AQ273="5",BJ273,0)</f>
        <v>0</v>
      </c>
      <c r="AB273" s="32">
        <f>IF(AQ273="1",BH273,0)</f>
        <v>0</v>
      </c>
      <c r="AC273" s="32">
        <f>IF(AQ273="1",BI273,0)</f>
        <v>0</v>
      </c>
      <c r="AD273" s="32">
        <f>IF(AQ273="7",BH273,0)</f>
        <v>0</v>
      </c>
      <c r="AE273" s="32">
        <f>IF(AQ273="7",BI273,0)</f>
        <v>0</v>
      </c>
      <c r="AF273" s="32">
        <f>IF(AQ273="2",BH273,0)</f>
        <v>0</v>
      </c>
      <c r="AG273" s="32">
        <f>IF(AQ273="2",BI273,0)</f>
        <v>0</v>
      </c>
      <c r="AH273" s="32">
        <f>IF(AQ273="0",BJ273,0)</f>
        <v>0</v>
      </c>
      <c r="AI273" s="28"/>
      <c r="AJ273" s="15">
        <f>IF(AN273=0,K273,0)</f>
        <v>0</v>
      </c>
      <c r="AK273" s="15">
        <f>IF(AN273=15,K273,0)</f>
        <v>0</v>
      </c>
      <c r="AL273" s="15">
        <f>IF(AN273=21,K273,0)</f>
        <v>0</v>
      </c>
      <c r="AN273" s="32">
        <v>21</v>
      </c>
      <c r="AO273" s="32">
        <f>H273*0.0390268096514745</f>
        <v>0</v>
      </c>
      <c r="AP273" s="32">
        <f>H273*(1-0.0390268096514745)</f>
        <v>0</v>
      </c>
      <c r="AQ273" s="27" t="s">
        <v>13</v>
      </c>
      <c r="AV273" s="32">
        <f>AW273+AX273</f>
        <v>0</v>
      </c>
      <c r="AW273" s="32">
        <f>G273*AO273</f>
        <v>0</v>
      </c>
      <c r="AX273" s="32">
        <f>G273*AP273</f>
        <v>0</v>
      </c>
      <c r="AY273" s="33" t="s">
        <v>676</v>
      </c>
      <c r="AZ273" s="33" t="s">
        <v>689</v>
      </c>
      <c r="BA273" s="28" t="s">
        <v>692</v>
      </c>
      <c r="BC273" s="32">
        <f>AW273+AX273</f>
        <v>0</v>
      </c>
      <c r="BD273" s="32">
        <f>H273/(100-BE273)*100</f>
        <v>0</v>
      </c>
      <c r="BE273" s="32">
        <v>0</v>
      </c>
      <c r="BF273" s="32">
        <f>271</f>
        <v>271</v>
      </c>
      <c r="BH273" s="15">
        <f>G273*AO273</f>
        <v>0</v>
      </c>
      <c r="BI273" s="15">
        <f>G273*AP273</f>
        <v>0</v>
      </c>
      <c r="BJ273" s="15">
        <f>G273*H273</f>
        <v>0</v>
      </c>
    </row>
    <row r="274" spans="1:62" x14ac:dyDescent="0.2">
      <c r="C274" s="58" t="s">
        <v>519</v>
      </c>
      <c r="D274" s="59"/>
      <c r="E274" s="59"/>
      <c r="G274" s="16">
        <v>2</v>
      </c>
    </row>
    <row r="275" spans="1:62" x14ac:dyDescent="0.2">
      <c r="A275" s="6" t="s">
        <v>93</v>
      </c>
      <c r="B275" s="6" t="s">
        <v>228</v>
      </c>
      <c r="C275" s="68" t="s">
        <v>520</v>
      </c>
      <c r="D275" s="69"/>
      <c r="E275" s="69"/>
      <c r="F275" s="6" t="s">
        <v>629</v>
      </c>
      <c r="G275" s="17">
        <v>2</v>
      </c>
      <c r="H275" s="17">
        <v>0</v>
      </c>
      <c r="I275" s="17">
        <f>G275*AO275</f>
        <v>0</v>
      </c>
      <c r="J275" s="17">
        <f>G275*AP275</f>
        <v>0</v>
      </c>
      <c r="K275" s="17">
        <f>G275*H275</f>
        <v>0</v>
      </c>
      <c r="L275" s="29" t="s">
        <v>648</v>
      </c>
      <c r="Z275" s="32">
        <f>IF(AQ275="5",BJ275,0)</f>
        <v>0</v>
      </c>
      <c r="AB275" s="32">
        <f>IF(AQ275="1",BH275,0)</f>
        <v>0</v>
      </c>
      <c r="AC275" s="32">
        <f>IF(AQ275="1",BI275,0)</f>
        <v>0</v>
      </c>
      <c r="AD275" s="32">
        <f>IF(AQ275="7",BH275,0)</f>
        <v>0</v>
      </c>
      <c r="AE275" s="32">
        <f>IF(AQ275="7",BI275,0)</f>
        <v>0</v>
      </c>
      <c r="AF275" s="32">
        <f>IF(AQ275="2",BH275,0)</f>
        <v>0</v>
      </c>
      <c r="AG275" s="32">
        <f>IF(AQ275="2",BI275,0)</f>
        <v>0</v>
      </c>
      <c r="AH275" s="32">
        <f>IF(AQ275="0",BJ275,0)</f>
        <v>0</v>
      </c>
      <c r="AI275" s="28"/>
      <c r="AJ275" s="17">
        <f>IF(AN275=0,K275,0)</f>
        <v>0</v>
      </c>
      <c r="AK275" s="17">
        <f>IF(AN275=15,K275,0)</f>
        <v>0</v>
      </c>
      <c r="AL275" s="17">
        <f>IF(AN275=21,K275,0)</f>
        <v>0</v>
      </c>
      <c r="AN275" s="32">
        <v>21</v>
      </c>
      <c r="AO275" s="32">
        <f>H275*1</f>
        <v>0</v>
      </c>
      <c r="AP275" s="32">
        <f>H275*(1-1)</f>
        <v>0</v>
      </c>
      <c r="AQ275" s="29" t="s">
        <v>13</v>
      </c>
      <c r="AV275" s="32">
        <f>AW275+AX275</f>
        <v>0</v>
      </c>
      <c r="AW275" s="32">
        <f>G275*AO275</f>
        <v>0</v>
      </c>
      <c r="AX275" s="32">
        <f>G275*AP275</f>
        <v>0</v>
      </c>
      <c r="AY275" s="33" t="s">
        <v>676</v>
      </c>
      <c r="AZ275" s="33" t="s">
        <v>689</v>
      </c>
      <c r="BA275" s="28" t="s">
        <v>692</v>
      </c>
      <c r="BC275" s="32">
        <f>AW275+AX275</f>
        <v>0</v>
      </c>
      <c r="BD275" s="32">
        <f>H275/(100-BE275)*100</f>
        <v>0</v>
      </c>
      <c r="BE275" s="32">
        <v>0</v>
      </c>
      <c r="BF275" s="32">
        <f>273</f>
        <v>273</v>
      </c>
      <c r="BH275" s="17">
        <f>G275*AO275</f>
        <v>0</v>
      </c>
      <c r="BI275" s="17">
        <f>G275*AP275</f>
        <v>0</v>
      </c>
      <c r="BJ275" s="17">
        <f>G275*H275</f>
        <v>0</v>
      </c>
    </row>
    <row r="276" spans="1:62" x14ac:dyDescent="0.2">
      <c r="C276" s="58" t="s">
        <v>519</v>
      </c>
      <c r="D276" s="59"/>
      <c r="E276" s="59"/>
      <c r="G276" s="16">
        <v>2</v>
      </c>
    </row>
    <row r="277" spans="1:62" x14ac:dyDescent="0.2">
      <c r="A277" s="4" t="s">
        <v>94</v>
      </c>
      <c r="B277" s="4" t="s">
        <v>229</v>
      </c>
      <c r="C277" s="56" t="s">
        <v>521</v>
      </c>
      <c r="D277" s="57"/>
      <c r="E277" s="57"/>
      <c r="F277" s="4" t="s">
        <v>630</v>
      </c>
      <c r="G277" s="15">
        <v>0.97624</v>
      </c>
      <c r="H277" s="15">
        <v>0</v>
      </c>
      <c r="I277" s="15">
        <f>G277*AO277</f>
        <v>0</v>
      </c>
      <c r="J277" s="15">
        <f>G277*AP277</f>
        <v>0</v>
      </c>
      <c r="K277" s="15">
        <f>G277*H277</f>
        <v>0</v>
      </c>
      <c r="L277" s="27" t="s">
        <v>648</v>
      </c>
      <c r="Z277" s="32">
        <f>IF(AQ277="5",BJ277,0)</f>
        <v>0</v>
      </c>
      <c r="AB277" s="32">
        <f>IF(AQ277="1",BH277,0)</f>
        <v>0</v>
      </c>
      <c r="AC277" s="32">
        <f>IF(AQ277="1",BI277,0)</f>
        <v>0</v>
      </c>
      <c r="AD277" s="32">
        <f>IF(AQ277="7",BH277,0)</f>
        <v>0</v>
      </c>
      <c r="AE277" s="32">
        <f>IF(AQ277="7",BI277,0)</f>
        <v>0</v>
      </c>
      <c r="AF277" s="32">
        <f>IF(AQ277="2",BH277,0)</f>
        <v>0</v>
      </c>
      <c r="AG277" s="32">
        <f>IF(AQ277="2",BI277,0)</f>
        <v>0</v>
      </c>
      <c r="AH277" s="32">
        <f>IF(AQ277="0",BJ277,0)</f>
        <v>0</v>
      </c>
      <c r="AI277" s="28"/>
      <c r="AJ277" s="15">
        <f>IF(AN277=0,K277,0)</f>
        <v>0</v>
      </c>
      <c r="AK277" s="15">
        <f>IF(AN277=15,K277,0)</f>
        <v>0</v>
      </c>
      <c r="AL277" s="15">
        <f>IF(AN277=21,K277,0)</f>
        <v>0</v>
      </c>
      <c r="AN277" s="32">
        <v>21</v>
      </c>
      <c r="AO277" s="32">
        <f>H277*0</f>
        <v>0</v>
      </c>
      <c r="AP277" s="32">
        <f>H277*(1-0)</f>
        <v>0</v>
      </c>
      <c r="AQ277" s="27" t="s">
        <v>11</v>
      </c>
      <c r="AV277" s="32">
        <f>AW277+AX277</f>
        <v>0</v>
      </c>
      <c r="AW277" s="32">
        <f>G277*AO277</f>
        <v>0</v>
      </c>
      <c r="AX277" s="32">
        <f>G277*AP277</f>
        <v>0</v>
      </c>
      <c r="AY277" s="33" t="s">
        <v>676</v>
      </c>
      <c r="AZ277" s="33" t="s">
        <v>689</v>
      </c>
      <c r="BA277" s="28" t="s">
        <v>692</v>
      </c>
      <c r="BC277" s="32">
        <f>AW277+AX277</f>
        <v>0</v>
      </c>
      <c r="BD277" s="32">
        <f>H277/(100-BE277)*100</f>
        <v>0</v>
      </c>
      <c r="BE277" s="32">
        <v>0</v>
      </c>
      <c r="BF277" s="32">
        <f>275</f>
        <v>275</v>
      </c>
      <c r="BH277" s="15">
        <f>G277*AO277</f>
        <v>0</v>
      </c>
      <c r="BI277" s="15">
        <f>G277*AP277</f>
        <v>0</v>
      </c>
      <c r="BJ277" s="15">
        <f>G277*H277</f>
        <v>0</v>
      </c>
    </row>
    <row r="278" spans="1:62" x14ac:dyDescent="0.2">
      <c r="C278" s="58" t="s">
        <v>522</v>
      </c>
      <c r="D278" s="59"/>
      <c r="E278" s="59"/>
      <c r="G278" s="16">
        <v>0.97624</v>
      </c>
    </row>
    <row r="279" spans="1:62" x14ac:dyDescent="0.2">
      <c r="A279" s="5"/>
      <c r="B279" s="13" t="s">
        <v>230</v>
      </c>
      <c r="C279" s="66" t="s">
        <v>523</v>
      </c>
      <c r="D279" s="67"/>
      <c r="E279" s="67"/>
      <c r="F279" s="5" t="s">
        <v>6</v>
      </c>
      <c r="G279" s="5" t="s">
        <v>6</v>
      </c>
      <c r="H279" s="5" t="s">
        <v>6</v>
      </c>
      <c r="I279" s="35">
        <f>SUM(I280:I280)</f>
        <v>0</v>
      </c>
      <c r="J279" s="35">
        <f>SUM(J280:J280)</f>
        <v>0</v>
      </c>
      <c r="K279" s="35">
        <f>SUM(K280:K280)</f>
        <v>0</v>
      </c>
      <c r="L279" s="28"/>
      <c r="AI279" s="28"/>
      <c r="AS279" s="35">
        <f>SUM(AJ280:AJ280)</f>
        <v>0</v>
      </c>
      <c r="AT279" s="35">
        <f>SUM(AK280:AK280)</f>
        <v>0</v>
      </c>
      <c r="AU279" s="35">
        <f>SUM(AL280:AL280)</f>
        <v>0</v>
      </c>
    </row>
    <row r="280" spans="1:62" x14ac:dyDescent="0.2">
      <c r="A280" s="4" t="s">
        <v>95</v>
      </c>
      <c r="B280" s="4" t="s">
        <v>231</v>
      </c>
      <c r="C280" s="56" t="s">
        <v>524</v>
      </c>
      <c r="D280" s="57"/>
      <c r="E280" s="57"/>
      <c r="F280" s="4" t="s">
        <v>625</v>
      </c>
      <c r="G280" s="15">
        <v>148.65</v>
      </c>
      <c r="H280" s="15">
        <v>0</v>
      </c>
      <c r="I280" s="15">
        <f>G280*AO280</f>
        <v>0</v>
      </c>
      <c r="J280" s="15">
        <f>G280*AP280</f>
        <v>0</v>
      </c>
      <c r="K280" s="15">
        <f>G280*H280</f>
        <v>0</v>
      </c>
      <c r="L280" s="27" t="s">
        <v>648</v>
      </c>
      <c r="Z280" s="32">
        <f>IF(AQ280="5",BJ280,0)</f>
        <v>0</v>
      </c>
      <c r="AB280" s="32">
        <f>IF(AQ280="1",BH280,0)</f>
        <v>0</v>
      </c>
      <c r="AC280" s="32">
        <f>IF(AQ280="1",BI280,0)</f>
        <v>0</v>
      </c>
      <c r="AD280" s="32">
        <f>IF(AQ280="7",BH280,0)</f>
        <v>0</v>
      </c>
      <c r="AE280" s="32">
        <f>IF(AQ280="7",BI280,0)</f>
        <v>0</v>
      </c>
      <c r="AF280" s="32">
        <f>IF(AQ280="2",BH280,0)</f>
        <v>0</v>
      </c>
      <c r="AG280" s="32">
        <f>IF(AQ280="2",BI280,0)</f>
        <v>0</v>
      </c>
      <c r="AH280" s="32">
        <f>IF(AQ280="0",BJ280,0)</f>
        <v>0</v>
      </c>
      <c r="AI280" s="28"/>
      <c r="AJ280" s="15">
        <f>IF(AN280=0,K280,0)</f>
        <v>0</v>
      </c>
      <c r="AK280" s="15">
        <f>IF(AN280=15,K280,0)</f>
        <v>0</v>
      </c>
      <c r="AL280" s="15">
        <f>IF(AN280=21,K280,0)</f>
        <v>0</v>
      </c>
      <c r="AN280" s="32">
        <v>21</v>
      </c>
      <c r="AO280" s="32">
        <f>H280*0.0673955811745195</f>
        <v>0</v>
      </c>
      <c r="AP280" s="32">
        <f>H280*(1-0.0673955811745195)</f>
        <v>0</v>
      </c>
      <c r="AQ280" s="27" t="s">
        <v>13</v>
      </c>
      <c r="AV280" s="32">
        <f>AW280+AX280</f>
        <v>0</v>
      </c>
      <c r="AW280" s="32">
        <f>G280*AO280</f>
        <v>0</v>
      </c>
      <c r="AX280" s="32">
        <f>G280*AP280</f>
        <v>0</v>
      </c>
      <c r="AY280" s="33" t="s">
        <v>677</v>
      </c>
      <c r="AZ280" s="33" t="s">
        <v>690</v>
      </c>
      <c r="BA280" s="28" t="s">
        <v>692</v>
      </c>
      <c r="BC280" s="32">
        <f>AW280+AX280</f>
        <v>0</v>
      </c>
      <c r="BD280" s="32">
        <f>H280/(100-BE280)*100</f>
        <v>0</v>
      </c>
      <c r="BE280" s="32">
        <v>0</v>
      </c>
      <c r="BF280" s="32">
        <f>278</f>
        <v>278</v>
      </c>
      <c r="BH280" s="15">
        <f>G280*AO280</f>
        <v>0</v>
      </c>
      <c r="BI280" s="15">
        <f>G280*AP280</f>
        <v>0</v>
      </c>
      <c r="BJ280" s="15">
        <f>G280*H280</f>
        <v>0</v>
      </c>
    </row>
    <row r="281" spans="1:62" x14ac:dyDescent="0.2">
      <c r="C281" s="58" t="s">
        <v>525</v>
      </c>
      <c r="D281" s="59"/>
      <c r="E281" s="59"/>
      <c r="G281" s="16">
        <v>148.65</v>
      </c>
    </row>
    <row r="282" spans="1:62" x14ac:dyDescent="0.2">
      <c r="A282" s="5"/>
      <c r="B282" s="13" t="s">
        <v>100</v>
      </c>
      <c r="C282" s="66" t="s">
        <v>526</v>
      </c>
      <c r="D282" s="67"/>
      <c r="E282" s="67"/>
      <c r="F282" s="5" t="s">
        <v>6</v>
      </c>
      <c r="G282" s="5" t="s">
        <v>6</v>
      </c>
      <c r="H282" s="5" t="s">
        <v>6</v>
      </c>
      <c r="I282" s="35">
        <f>SUM(I283:I298)</f>
        <v>0</v>
      </c>
      <c r="J282" s="35">
        <f>SUM(J283:J298)</f>
        <v>0</v>
      </c>
      <c r="K282" s="35">
        <f>SUM(K283:K298)</f>
        <v>0</v>
      </c>
      <c r="L282" s="28"/>
      <c r="AI282" s="28"/>
      <c r="AS282" s="35">
        <f>SUM(AJ283:AJ298)</f>
        <v>0</v>
      </c>
      <c r="AT282" s="35">
        <f>SUM(AK283:AK298)</f>
        <v>0</v>
      </c>
      <c r="AU282" s="35">
        <f>SUM(AL283:AL298)</f>
        <v>0</v>
      </c>
    </row>
    <row r="283" spans="1:62" x14ac:dyDescent="0.2">
      <c r="A283" s="4" t="s">
        <v>96</v>
      </c>
      <c r="B283" s="4" t="s">
        <v>232</v>
      </c>
      <c r="C283" s="56" t="s">
        <v>527</v>
      </c>
      <c r="D283" s="57"/>
      <c r="E283" s="57"/>
      <c r="F283" s="4" t="s">
        <v>625</v>
      </c>
      <c r="G283" s="15">
        <v>1331.5</v>
      </c>
      <c r="H283" s="15">
        <v>0</v>
      </c>
      <c r="I283" s="15">
        <f>G283*AO283</f>
        <v>0</v>
      </c>
      <c r="J283" s="15">
        <f>G283*AP283</f>
        <v>0</v>
      </c>
      <c r="K283" s="15">
        <f>G283*H283</f>
        <v>0</v>
      </c>
      <c r="L283" s="27" t="s">
        <v>648</v>
      </c>
      <c r="Z283" s="32">
        <f>IF(AQ283="5",BJ283,0)</f>
        <v>0</v>
      </c>
      <c r="AB283" s="32">
        <f>IF(AQ283="1",BH283,0)</f>
        <v>0</v>
      </c>
      <c r="AC283" s="32">
        <f>IF(AQ283="1",BI283,0)</f>
        <v>0</v>
      </c>
      <c r="AD283" s="32">
        <f>IF(AQ283="7",BH283,0)</f>
        <v>0</v>
      </c>
      <c r="AE283" s="32">
        <f>IF(AQ283="7",BI283,0)</f>
        <v>0</v>
      </c>
      <c r="AF283" s="32">
        <f>IF(AQ283="2",BH283,0)</f>
        <v>0</v>
      </c>
      <c r="AG283" s="32">
        <f>IF(AQ283="2",BI283,0)</f>
        <v>0</v>
      </c>
      <c r="AH283" s="32">
        <f>IF(AQ283="0",BJ283,0)</f>
        <v>0</v>
      </c>
      <c r="AI283" s="28"/>
      <c r="AJ283" s="15">
        <f>IF(AN283=0,K283,0)</f>
        <v>0</v>
      </c>
      <c r="AK283" s="15">
        <f>IF(AN283=15,K283,0)</f>
        <v>0</v>
      </c>
      <c r="AL283" s="15">
        <f>IF(AN283=21,K283,0)</f>
        <v>0</v>
      </c>
      <c r="AN283" s="32">
        <v>21</v>
      </c>
      <c r="AO283" s="32">
        <f>H283*0.000137193023526105</f>
        <v>0</v>
      </c>
      <c r="AP283" s="32">
        <f>H283*(1-0.000137193023526105)</f>
        <v>0</v>
      </c>
      <c r="AQ283" s="27" t="s">
        <v>7</v>
      </c>
      <c r="AV283" s="32">
        <f>AW283+AX283</f>
        <v>0</v>
      </c>
      <c r="AW283" s="32">
        <f>G283*AO283</f>
        <v>0</v>
      </c>
      <c r="AX283" s="32">
        <f>G283*AP283</f>
        <v>0</v>
      </c>
      <c r="AY283" s="33" t="s">
        <v>678</v>
      </c>
      <c r="AZ283" s="33" t="s">
        <v>691</v>
      </c>
      <c r="BA283" s="28" t="s">
        <v>692</v>
      </c>
      <c r="BC283" s="32">
        <f>AW283+AX283</f>
        <v>0</v>
      </c>
      <c r="BD283" s="32">
        <f>H283/(100-BE283)*100</f>
        <v>0</v>
      </c>
      <c r="BE283" s="32">
        <v>0</v>
      </c>
      <c r="BF283" s="32">
        <f>281</f>
        <v>281</v>
      </c>
      <c r="BH283" s="15">
        <f>G283*AO283</f>
        <v>0</v>
      </c>
      <c r="BI283" s="15">
        <f>G283*AP283</f>
        <v>0</v>
      </c>
      <c r="BJ283" s="15">
        <f>G283*H283</f>
        <v>0</v>
      </c>
    </row>
    <row r="284" spans="1:62" x14ac:dyDescent="0.2">
      <c r="C284" s="58" t="s">
        <v>528</v>
      </c>
      <c r="D284" s="59"/>
      <c r="E284" s="59"/>
      <c r="G284" s="16">
        <v>523.75</v>
      </c>
    </row>
    <row r="285" spans="1:62" x14ac:dyDescent="0.2">
      <c r="C285" s="58" t="s">
        <v>529</v>
      </c>
      <c r="D285" s="59"/>
      <c r="E285" s="59"/>
      <c r="G285" s="16">
        <v>416.25</v>
      </c>
    </row>
    <row r="286" spans="1:62" x14ac:dyDescent="0.2">
      <c r="C286" s="58" t="s">
        <v>530</v>
      </c>
      <c r="D286" s="59"/>
      <c r="E286" s="59"/>
      <c r="G286" s="16">
        <v>202.5</v>
      </c>
    </row>
    <row r="287" spans="1:62" x14ac:dyDescent="0.2">
      <c r="C287" s="58" t="s">
        <v>531</v>
      </c>
      <c r="D287" s="59"/>
      <c r="E287" s="59"/>
      <c r="G287" s="16">
        <v>189</v>
      </c>
    </row>
    <row r="288" spans="1:62" x14ac:dyDescent="0.2">
      <c r="A288" s="4" t="s">
        <v>97</v>
      </c>
      <c r="B288" s="4" t="s">
        <v>233</v>
      </c>
      <c r="C288" s="56" t="s">
        <v>532</v>
      </c>
      <c r="D288" s="57"/>
      <c r="E288" s="57"/>
      <c r="F288" s="4" t="s">
        <v>625</v>
      </c>
      <c r="G288" s="15">
        <v>2663</v>
      </c>
      <c r="H288" s="15">
        <v>0</v>
      </c>
      <c r="I288" s="15">
        <f>G288*AO288</f>
        <v>0</v>
      </c>
      <c r="J288" s="15">
        <f>G288*AP288</f>
        <v>0</v>
      </c>
      <c r="K288" s="15">
        <f>G288*H288</f>
        <v>0</v>
      </c>
      <c r="L288" s="27" t="s">
        <v>648</v>
      </c>
      <c r="Z288" s="32">
        <f>IF(AQ288="5",BJ288,0)</f>
        <v>0</v>
      </c>
      <c r="AB288" s="32">
        <f>IF(AQ288="1",BH288,0)</f>
        <v>0</v>
      </c>
      <c r="AC288" s="32">
        <f>IF(AQ288="1",BI288,0)</f>
        <v>0</v>
      </c>
      <c r="AD288" s="32">
        <f>IF(AQ288="7",BH288,0)</f>
        <v>0</v>
      </c>
      <c r="AE288" s="32">
        <f>IF(AQ288="7",BI288,0)</f>
        <v>0</v>
      </c>
      <c r="AF288" s="32">
        <f>IF(AQ288="2",BH288,0)</f>
        <v>0</v>
      </c>
      <c r="AG288" s="32">
        <f>IF(AQ288="2",BI288,0)</f>
        <v>0</v>
      </c>
      <c r="AH288" s="32">
        <f>IF(AQ288="0",BJ288,0)</f>
        <v>0</v>
      </c>
      <c r="AI288" s="28"/>
      <c r="AJ288" s="15">
        <f>IF(AN288=0,K288,0)</f>
        <v>0</v>
      </c>
      <c r="AK288" s="15">
        <f>IF(AN288=15,K288,0)</f>
        <v>0</v>
      </c>
      <c r="AL288" s="15">
        <f>IF(AN288=21,K288,0)</f>
        <v>0</v>
      </c>
      <c r="AN288" s="32">
        <v>21</v>
      </c>
      <c r="AO288" s="32">
        <f>H288*0.902830188679245</f>
        <v>0</v>
      </c>
      <c r="AP288" s="32">
        <f>H288*(1-0.902830188679245)</f>
        <v>0</v>
      </c>
      <c r="AQ288" s="27" t="s">
        <v>7</v>
      </c>
      <c r="AV288" s="32">
        <f>AW288+AX288</f>
        <v>0</v>
      </c>
      <c r="AW288" s="32">
        <f>G288*AO288</f>
        <v>0</v>
      </c>
      <c r="AX288" s="32">
        <f>G288*AP288</f>
        <v>0</v>
      </c>
      <c r="AY288" s="33" t="s">
        <v>678</v>
      </c>
      <c r="AZ288" s="33" t="s">
        <v>691</v>
      </c>
      <c r="BA288" s="28" t="s">
        <v>692</v>
      </c>
      <c r="BC288" s="32">
        <f>AW288+AX288</f>
        <v>0</v>
      </c>
      <c r="BD288" s="32">
        <f>H288/(100-BE288)*100</f>
        <v>0</v>
      </c>
      <c r="BE288" s="32">
        <v>0</v>
      </c>
      <c r="BF288" s="32">
        <f>286</f>
        <v>286</v>
      </c>
      <c r="BH288" s="15">
        <f>G288*AO288</f>
        <v>0</v>
      </c>
      <c r="BI288" s="15">
        <f>G288*AP288</f>
        <v>0</v>
      </c>
      <c r="BJ288" s="15">
        <f>G288*H288</f>
        <v>0</v>
      </c>
    </row>
    <row r="289" spans="1:62" x14ac:dyDescent="0.2">
      <c r="C289" s="58" t="s">
        <v>533</v>
      </c>
      <c r="D289" s="59"/>
      <c r="E289" s="59"/>
      <c r="G289" s="16">
        <v>2663</v>
      </c>
    </row>
    <row r="290" spans="1:62" x14ac:dyDescent="0.2">
      <c r="A290" s="4" t="s">
        <v>98</v>
      </c>
      <c r="B290" s="4" t="s">
        <v>234</v>
      </c>
      <c r="C290" s="56" t="s">
        <v>534</v>
      </c>
      <c r="D290" s="57"/>
      <c r="E290" s="57"/>
      <c r="F290" s="4" t="s">
        <v>625</v>
      </c>
      <c r="G290" s="15">
        <v>1331.5</v>
      </c>
      <c r="H290" s="15">
        <v>0</v>
      </c>
      <c r="I290" s="15">
        <f>G290*AO290</f>
        <v>0</v>
      </c>
      <c r="J290" s="15">
        <f>G290*AP290</f>
        <v>0</v>
      </c>
      <c r="K290" s="15">
        <f>G290*H290</f>
        <v>0</v>
      </c>
      <c r="L290" s="27" t="s">
        <v>648</v>
      </c>
      <c r="Z290" s="32">
        <f>IF(AQ290="5",BJ290,0)</f>
        <v>0</v>
      </c>
      <c r="AB290" s="32">
        <f>IF(AQ290="1",BH290,0)</f>
        <v>0</v>
      </c>
      <c r="AC290" s="32">
        <f>IF(AQ290="1",BI290,0)</f>
        <v>0</v>
      </c>
      <c r="AD290" s="32">
        <f>IF(AQ290="7",BH290,0)</f>
        <v>0</v>
      </c>
      <c r="AE290" s="32">
        <f>IF(AQ290="7",BI290,0)</f>
        <v>0</v>
      </c>
      <c r="AF290" s="32">
        <f>IF(AQ290="2",BH290,0)</f>
        <v>0</v>
      </c>
      <c r="AG290" s="32">
        <f>IF(AQ290="2",BI290,0)</f>
        <v>0</v>
      </c>
      <c r="AH290" s="32">
        <f>IF(AQ290="0",BJ290,0)</f>
        <v>0</v>
      </c>
      <c r="AI290" s="28"/>
      <c r="AJ290" s="15">
        <f>IF(AN290=0,K290,0)</f>
        <v>0</v>
      </c>
      <c r="AK290" s="15">
        <f>IF(AN290=15,K290,0)</f>
        <v>0</v>
      </c>
      <c r="AL290" s="15">
        <f>IF(AN290=21,K290,0)</f>
        <v>0</v>
      </c>
      <c r="AN290" s="32">
        <v>21</v>
      </c>
      <c r="AO290" s="32">
        <f>H290*0</f>
        <v>0</v>
      </c>
      <c r="AP290" s="32">
        <f>H290*(1-0)</f>
        <v>0</v>
      </c>
      <c r="AQ290" s="27" t="s">
        <v>7</v>
      </c>
      <c r="AV290" s="32">
        <f>AW290+AX290</f>
        <v>0</v>
      </c>
      <c r="AW290" s="32">
        <f>G290*AO290</f>
        <v>0</v>
      </c>
      <c r="AX290" s="32">
        <f>G290*AP290</f>
        <v>0</v>
      </c>
      <c r="AY290" s="33" t="s">
        <v>678</v>
      </c>
      <c r="AZ290" s="33" t="s">
        <v>691</v>
      </c>
      <c r="BA290" s="28" t="s">
        <v>692</v>
      </c>
      <c r="BC290" s="32">
        <f>AW290+AX290</f>
        <v>0</v>
      </c>
      <c r="BD290" s="32">
        <f>H290/(100-BE290)*100</f>
        <v>0</v>
      </c>
      <c r="BE290" s="32">
        <v>0</v>
      </c>
      <c r="BF290" s="32">
        <f>288</f>
        <v>288</v>
      </c>
      <c r="BH290" s="15">
        <f>G290*AO290</f>
        <v>0</v>
      </c>
      <c r="BI290" s="15">
        <f>G290*AP290</f>
        <v>0</v>
      </c>
      <c r="BJ290" s="15">
        <f>G290*H290</f>
        <v>0</v>
      </c>
    </row>
    <row r="291" spans="1:62" x14ac:dyDescent="0.2">
      <c r="C291" s="58" t="s">
        <v>535</v>
      </c>
      <c r="D291" s="59"/>
      <c r="E291" s="59"/>
      <c r="G291" s="16">
        <v>1331.5</v>
      </c>
    </row>
    <row r="292" spans="1:62" x14ac:dyDescent="0.2">
      <c r="A292" s="4" t="s">
        <v>99</v>
      </c>
      <c r="B292" s="4" t="s">
        <v>235</v>
      </c>
      <c r="C292" s="56" t="s">
        <v>536</v>
      </c>
      <c r="D292" s="57"/>
      <c r="E292" s="57"/>
      <c r="F292" s="4" t="s">
        <v>625</v>
      </c>
      <c r="G292" s="15">
        <v>133.5</v>
      </c>
      <c r="H292" s="15">
        <v>0</v>
      </c>
      <c r="I292" s="15">
        <f>G292*AO292</f>
        <v>0</v>
      </c>
      <c r="J292" s="15">
        <f>G292*AP292</f>
        <v>0</v>
      </c>
      <c r="K292" s="15">
        <f>G292*H292</f>
        <v>0</v>
      </c>
      <c r="L292" s="27" t="s">
        <v>648</v>
      </c>
      <c r="Z292" s="32">
        <f>IF(AQ292="5",BJ292,0)</f>
        <v>0</v>
      </c>
      <c r="AB292" s="32">
        <f>IF(AQ292="1",BH292,0)</f>
        <v>0</v>
      </c>
      <c r="AC292" s="32">
        <f>IF(AQ292="1",BI292,0)</f>
        <v>0</v>
      </c>
      <c r="AD292" s="32">
        <f>IF(AQ292="7",BH292,0)</f>
        <v>0</v>
      </c>
      <c r="AE292" s="32">
        <f>IF(AQ292="7",BI292,0)</f>
        <v>0</v>
      </c>
      <c r="AF292" s="32">
        <f>IF(AQ292="2",BH292,0)</f>
        <v>0</v>
      </c>
      <c r="AG292" s="32">
        <f>IF(AQ292="2",BI292,0)</f>
        <v>0</v>
      </c>
      <c r="AH292" s="32">
        <f>IF(AQ292="0",BJ292,0)</f>
        <v>0</v>
      </c>
      <c r="AI292" s="28"/>
      <c r="AJ292" s="15">
        <f>IF(AN292=0,K292,0)</f>
        <v>0</v>
      </c>
      <c r="AK292" s="15">
        <f>IF(AN292=15,K292,0)</f>
        <v>0</v>
      </c>
      <c r="AL292" s="15">
        <f>IF(AN292=21,K292,0)</f>
        <v>0</v>
      </c>
      <c r="AN292" s="32">
        <v>21</v>
      </c>
      <c r="AO292" s="32">
        <f>H292*0</f>
        <v>0</v>
      </c>
      <c r="AP292" s="32">
        <f>H292*(1-0)</f>
        <v>0</v>
      </c>
      <c r="AQ292" s="27" t="s">
        <v>7</v>
      </c>
      <c r="AV292" s="32">
        <f>AW292+AX292</f>
        <v>0</v>
      </c>
      <c r="AW292" s="32">
        <f>G292*AO292</f>
        <v>0</v>
      </c>
      <c r="AX292" s="32">
        <f>G292*AP292</f>
        <v>0</v>
      </c>
      <c r="AY292" s="33" t="s">
        <v>678</v>
      </c>
      <c r="AZ292" s="33" t="s">
        <v>691</v>
      </c>
      <c r="BA292" s="28" t="s">
        <v>692</v>
      </c>
      <c r="BC292" s="32">
        <f>AW292+AX292</f>
        <v>0</v>
      </c>
      <c r="BD292" s="32">
        <f>H292/(100-BE292)*100</f>
        <v>0</v>
      </c>
      <c r="BE292" s="32">
        <v>0</v>
      </c>
      <c r="BF292" s="32">
        <f>290</f>
        <v>290</v>
      </c>
      <c r="BH292" s="15">
        <f>G292*AO292</f>
        <v>0</v>
      </c>
      <c r="BI292" s="15">
        <f>G292*AP292</f>
        <v>0</v>
      </c>
      <c r="BJ292" s="15">
        <f>G292*H292</f>
        <v>0</v>
      </c>
    </row>
    <row r="293" spans="1:62" x14ac:dyDescent="0.2">
      <c r="C293" s="58" t="s">
        <v>537</v>
      </c>
      <c r="D293" s="59"/>
      <c r="E293" s="59"/>
      <c r="G293" s="16">
        <v>133.5</v>
      </c>
    </row>
    <row r="294" spans="1:62" x14ac:dyDescent="0.2">
      <c r="A294" s="4" t="s">
        <v>100</v>
      </c>
      <c r="B294" s="4" t="s">
        <v>236</v>
      </c>
      <c r="C294" s="56" t="s">
        <v>538</v>
      </c>
      <c r="D294" s="57"/>
      <c r="E294" s="57"/>
      <c r="F294" s="4" t="s">
        <v>625</v>
      </c>
      <c r="G294" s="15">
        <v>2663</v>
      </c>
      <c r="H294" s="15">
        <v>0</v>
      </c>
      <c r="I294" s="15">
        <f>G294*AO294</f>
        <v>0</v>
      </c>
      <c r="J294" s="15">
        <f>G294*AP294</f>
        <v>0</v>
      </c>
      <c r="K294" s="15">
        <f>G294*H294</f>
        <v>0</v>
      </c>
      <c r="L294" s="27" t="s">
        <v>648</v>
      </c>
      <c r="Z294" s="32">
        <f>IF(AQ294="5",BJ294,0)</f>
        <v>0</v>
      </c>
      <c r="AB294" s="32">
        <f>IF(AQ294="1",BH294,0)</f>
        <v>0</v>
      </c>
      <c r="AC294" s="32">
        <f>IF(AQ294="1",BI294,0)</f>
        <v>0</v>
      </c>
      <c r="AD294" s="32">
        <f>IF(AQ294="7",BH294,0)</f>
        <v>0</v>
      </c>
      <c r="AE294" s="32">
        <f>IF(AQ294="7",BI294,0)</f>
        <v>0</v>
      </c>
      <c r="AF294" s="32">
        <f>IF(AQ294="2",BH294,0)</f>
        <v>0</v>
      </c>
      <c r="AG294" s="32">
        <f>IF(AQ294="2",BI294,0)</f>
        <v>0</v>
      </c>
      <c r="AH294" s="32">
        <f>IF(AQ294="0",BJ294,0)</f>
        <v>0</v>
      </c>
      <c r="AI294" s="28"/>
      <c r="AJ294" s="15">
        <f>IF(AN294=0,K294,0)</f>
        <v>0</v>
      </c>
      <c r="AK294" s="15">
        <f>IF(AN294=15,K294,0)</f>
        <v>0</v>
      </c>
      <c r="AL294" s="15">
        <f>IF(AN294=21,K294,0)</f>
        <v>0</v>
      </c>
      <c r="AN294" s="32">
        <v>21</v>
      </c>
      <c r="AO294" s="32">
        <f>H294*1</f>
        <v>0</v>
      </c>
      <c r="AP294" s="32">
        <f>H294*(1-1)</f>
        <v>0</v>
      </c>
      <c r="AQ294" s="27" t="s">
        <v>7</v>
      </c>
      <c r="AV294" s="32">
        <f>AW294+AX294</f>
        <v>0</v>
      </c>
      <c r="AW294" s="32">
        <f>G294*AO294</f>
        <v>0</v>
      </c>
      <c r="AX294" s="32">
        <f>G294*AP294</f>
        <v>0</v>
      </c>
      <c r="AY294" s="33" t="s">
        <v>678</v>
      </c>
      <c r="AZ294" s="33" t="s">
        <v>691</v>
      </c>
      <c r="BA294" s="28" t="s">
        <v>692</v>
      </c>
      <c r="BC294" s="32">
        <f>AW294+AX294</f>
        <v>0</v>
      </c>
      <c r="BD294" s="32">
        <f>H294/(100-BE294)*100</f>
        <v>0</v>
      </c>
      <c r="BE294" s="32">
        <v>0</v>
      </c>
      <c r="BF294" s="32">
        <f>292</f>
        <v>292</v>
      </c>
      <c r="BH294" s="15">
        <f>G294*AO294</f>
        <v>0</v>
      </c>
      <c r="BI294" s="15">
        <f>G294*AP294</f>
        <v>0</v>
      </c>
      <c r="BJ294" s="15">
        <f>G294*H294</f>
        <v>0</v>
      </c>
    </row>
    <row r="295" spans="1:62" x14ac:dyDescent="0.2">
      <c r="C295" s="58" t="s">
        <v>533</v>
      </c>
      <c r="D295" s="59"/>
      <c r="E295" s="59"/>
      <c r="G295" s="16">
        <v>2663</v>
      </c>
    </row>
    <row r="296" spans="1:62" x14ac:dyDescent="0.2">
      <c r="A296" s="4" t="s">
        <v>101</v>
      </c>
      <c r="B296" s="4" t="s">
        <v>237</v>
      </c>
      <c r="C296" s="56" t="s">
        <v>539</v>
      </c>
      <c r="D296" s="57"/>
      <c r="E296" s="57"/>
      <c r="F296" s="4" t="s">
        <v>625</v>
      </c>
      <c r="G296" s="15">
        <v>1331.5</v>
      </c>
      <c r="H296" s="15">
        <v>0</v>
      </c>
      <c r="I296" s="15">
        <f>G296*AO296</f>
        <v>0</v>
      </c>
      <c r="J296" s="15">
        <f>G296*AP296</f>
        <v>0</v>
      </c>
      <c r="K296" s="15">
        <f>G296*H296</f>
        <v>0</v>
      </c>
      <c r="L296" s="27" t="s">
        <v>648</v>
      </c>
      <c r="Z296" s="32">
        <f>IF(AQ296="5",BJ296,0)</f>
        <v>0</v>
      </c>
      <c r="AB296" s="32">
        <f>IF(AQ296="1",BH296,0)</f>
        <v>0</v>
      </c>
      <c r="AC296" s="32">
        <f>IF(AQ296="1",BI296,0)</f>
        <v>0</v>
      </c>
      <c r="AD296" s="32">
        <f>IF(AQ296="7",BH296,0)</f>
        <v>0</v>
      </c>
      <c r="AE296" s="32">
        <f>IF(AQ296="7",BI296,0)</f>
        <v>0</v>
      </c>
      <c r="AF296" s="32">
        <f>IF(AQ296="2",BH296,0)</f>
        <v>0</v>
      </c>
      <c r="AG296" s="32">
        <f>IF(AQ296="2",BI296,0)</f>
        <v>0</v>
      </c>
      <c r="AH296" s="32">
        <f>IF(AQ296="0",BJ296,0)</f>
        <v>0</v>
      </c>
      <c r="AI296" s="28"/>
      <c r="AJ296" s="15">
        <f>IF(AN296=0,K296,0)</f>
        <v>0</v>
      </c>
      <c r="AK296" s="15">
        <f>IF(AN296=15,K296,0)</f>
        <v>0</v>
      </c>
      <c r="AL296" s="15">
        <f>IF(AN296=21,K296,0)</f>
        <v>0</v>
      </c>
      <c r="AN296" s="32">
        <v>21</v>
      </c>
      <c r="AO296" s="32">
        <f>H296*0</f>
        <v>0</v>
      </c>
      <c r="AP296" s="32">
        <f>H296*(1-0)</f>
        <v>0</v>
      </c>
      <c r="AQ296" s="27" t="s">
        <v>7</v>
      </c>
      <c r="AV296" s="32">
        <f>AW296+AX296</f>
        <v>0</v>
      </c>
      <c r="AW296" s="32">
        <f>G296*AO296</f>
        <v>0</v>
      </c>
      <c r="AX296" s="32">
        <f>G296*AP296</f>
        <v>0</v>
      </c>
      <c r="AY296" s="33" t="s">
        <v>678</v>
      </c>
      <c r="AZ296" s="33" t="s">
        <v>691</v>
      </c>
      <c r="BA296" s="28" t="s">
        <v>692</v>
      </c>
      <c r="BC296" s="32">
        <f>AW296+AX296</f>
        <v>0</v>
      </c>
      <c r="BD296" s="32">
        <f>H296/(100-BE296)*100</f>
        <v>0</v>
      </c>
      <c r="BE296" s="32">
        <v>0</v>
      </c>
      <c r="BF296" s="32">
        <f>294</f>
        <v>294</v>
      </c>
      <c r="BH296" s="15">
        <f>G296*AO296</f>
        <v>0</v>
      </c>
      <c r="BI296" s="15">
        <f>G296*AP296</f>
        <v>0</v>
      </c>
      <c r="BJ296" s="15">
        <f>G296*H296</f>
        <v>0</v>
      </c>
    </row>
    <row r="297" spans="1:62" x14ac:dyDescent="0.2">
      <c r="C297" s="58" t="s">
        <v>535</v>
      </c>
      <c r="D297" s="59"/>
      <c r="E297" s="59"/>
      <c r="G297" s="16">
        <v>1331.5</v>
      </c>
    </row>
    <row r="298" spans="1:62" x14ac:dyDescent="0.2">
      <c r="A298" s="4" t="s">
        <v>102</v>
      </c>
      <c r="B298" s="4" t="s">
        <v>238</v>
      </c>
      <c r="C298" s="56" t="s">
        <v>540</v>
      </c>
      <c r="D298" s="57"/>
      <c r="E298" s="57"/>
      <c r="F298" s="4" t="s">
        <v>630</v>
      </c>
      <c r="G298" s="15">
        <v>27.13597</v>
      </c>
      <c r="H298" s="15">
        <v>0</v>
      </c>
      <c r="I298" s="15">
        <f>G298*AO298</f>
        <v>0</v>
      </c>
      <c r="J298" s="15">
        <f>G298*AP298</f>
        <v>0</v>
      </c>
      <c r="K298" s="15">
        <f>G298*H298</f>
        <v>0</v>
      </c>
      <c r="L298" s="27" t="s">
        <v>648</v>
      </c>
      <c r="Z298" s="32">
        <f>IF(AQ298="5",BJ298,0)</f>
        <v>0</v>
      </c>
      <c r="AB298" s="32">
        <f>IF(AQ298="1",BH298,0)</f>
        <v>0</v>
      </c>
      <c r="AC298" s="32">
        <f>IF(AQ298="1",BI298,0)</f>
        <v>0</v>
      </c>
      <c r="AD298" s="32">
        <f>IF(AQ298="7",BH298,0)</f>
        <v>0</v>
      </c>
      <c r="AE298" s="32">
        <f>IF(AQ298="7",BI298,0)</f>
        <v>0</v>
      </c>
      <c r="AF298" s="32">
        <f>IF(AQ298="2",BH298,0)</f>
        <v>0</v>
      </c>
      <c r="AG298" s="32">
        <f>IF(AQ298="2",BI298,0)</f>
        <v>0</v>
      </c>
      <c r="AH298" s="32">
        <f>IF(AQ298="0",BJ298,0)</f>
        <v>0</v>
      </c>
      <c r="AI298" s="28"/>
      <c r="AJ298" s="15">
        <f>IF(AN298=0,K298,0)</f>
        <v>0</v>
      </c>
      <c r="AK298" s="15">
        <f>IF(AN298=15,K298,0)</f>
        <v>0</v>
      </c>
      <c r="AL298" s="15">
        <f>IF(AN298=21,K298,0)</f>
        <v>0</v>
      </c>
      <c r="AN298" s="32">
        <v>21</v>
      </c>
      <c r="AO298" s="32">
        <f>H298*0</f>
        <v>0</v>
      </c>
      <c r="AP298" s="32">
        <f>H298*(1-0)</f>
        <v>0</v>
      </c>
      <c r="AQ298" s="27" t="s">
        <v>11</v>
      </c>
      <c r="AV298" s="32">
        <f>AW298+AX298</f>
        <v>0</v>
      </c>
      <c r="AW298" s="32">
        <f>G298*AO298</f>
        <v>0</v>
      </c>
      <c r="AX298" s="32">
        <f>G298*AP298</f>
        <v>0</v>
      </c>
      <c r="AY298" s="33" t="s">
        <v>678</v>
      </c>
      <c r="AZ298" s="33" t="s">
        <v>691</v>
      </c>
      <c r="BA298" s="28" t="s">
        <v>692</v>
      </c>
      <c r="BC298" s="32">
        <f>AW298+AX298</f>
        <v>0</v>
      </c>
      <c r="BD298" s="32">
        <f>H298/(100-BE298)*100</f>
        <v>0</v>
      </c>
      <c r="BE298" s="32">
        <v>0</v>
      </c>
      <c r="BF298" s="32">
        <f>296</f>
        <v>296</v>
      </c>
      <c r="BH298" s="15">
        <f>G298*AO298</f>
        <v>0</v>
      </c>
      <c r="BI298" s="15">
        <f>G298*AP298</f>
        <v>0</v>
      </c>
      <c r="BJ298" s="15">
        <f>G298*H298</f>
        <v>0</v>
      </c>
    </row>
    <row r="299" spans="1:62" x14ac:dyDescent="0.2">
      <c r="C299" s="58" t="s">
        <v>541</v>
      </c>
      <c r="D299" s="59"/>
      <c r="E299" s="59"/>
      <c r="G299" s="16">
        <v>27.13597</v>
      </c>
    </row>
    <row r="300" spans="1:62" x14ac:dyDescent="0.2">
      <c r="A300" s="5"/>
      <c r="B300" s="13" t="s">
        <v>101</v>
      </c>
      <c r="C300" s="66" t="s">
        <v>542</v>
      </c>
      <c r="D300" s="67"/>
      <c r="E300" s="67"/>
      <c r="F300" s="5" t="s">
        <v>6</v>
      </c>
      <c r="G300" s="5" t="s">
        <v>6</v>
      </c>
      <c r="H300" s="5" t="s">
        <v>6</v>
      </c>
      <c r="I300" s="35">
        <f>SUM(I301:I312)</f>
        <v>0</v>
      </c>
      <c r="J300" s="35">
        <f>SUM(J301:J312)</f>
        <v>0</v>
      </c>
      <c r="K300" s="35">
        <f>SUM(K301:K312)</f>
        <v>0</v>
      </c>
      <c r="L300" s="28"/>
      <c r="AI300" s="28"/>
      <c r="AS300" s="35">
        <f>SUM(AJ301:AJ312)</f>
        <v>0</v>
      </c>
      <c r="AT300" s="35">
        <f>SUM(AK301:AK312)</f>
        <v>0</v>
      </c>
      <c r="AU300" s="35">
        <f>SUM(AL301:AL312)</f>
        <v>0</v>
      </c>
    </row>
    <row r="301" spans="1:62" x14ac:dyDescent="0.2">
      <c r="A301" s="4" t="s">
        <v>103</v>
      </c>
      <c r="B301" s="4" t="s">
        <v>239</v>
      </c>
      <c r="C301" s="56" t="s">
        <v>543</v>
      </c>
      <c r="D301" s="57"/>
      <c r="E301" s="57"/>
      <c r="F301" s="4" t="s">
        <v>625</v>
      </c>
      <c r="G301" s="15">
        <v>1210</v>
      </c>
      <c r="H301" s="15">
        <v>0</v>
      </c>
      <c r="I301" s="15">
        <f>G301*AO301</f>
        <v>0</v>
      </c>
      <c r="J301" s="15">
        <f>G301*AP301</f>
        <v>0</v>
      </c>
      <c r="K301" s="15">
        <f>G301*H301</f>
        <v>0</v>
      </c>
      <c r="L301" s="27" t="s">
        <v>648</v>
      </c>
      <c r="Z301" s="32">
        <f>IF(AQ301="5",BJ301,0)</f>
        <v>0</v>
      </c>
      <c r="AB301" s="32">
        <f>IF(AQ301="1",BH301,0)</f>
        <v>0</v>
      </c>
      <c r="AC301" s="32">
        <f>IF(AQ301="1",BI301,0)</f>
        <v>0</v>
      </c>
      <c r="AD301" s="32">
        <f>IF(AQ301="7",BH301,0)</f>
        <v>0</v>
      </c>
      <c r="AE301" s="32">
        <f>IF(AQ301="7",BI301,0)</f>
        <v>0</v>
      </c>
      <c r="AF301" s="32">
        <f>IF(AQ301="2",BH301,0)</f>
        <v>0</v>
      </c>
      <c r="AG301" s="32">
        <f>IF(AQ301="2",BI301,0)</f>
        <v>0</v>
      </c>
      <c r="AH301" s="32">
        <f>IF(AQ301="0",BJ301,0)</f>
        <v>0</v>
      </c>
      <c r="AI301" s="28"/>
      <c r="AJ301" s="15">
        <f>IF(AN301=0,K301,0)</f>
        <v>0</v>
      </c>
      <c r="AK301" s="15">
        <f>IF(AN301=15,K301,0)</f>
        <v>0</v>
      </c>
      <c r="AL301" s="15">
        <f>IF(AN301=21,K301,0)</f>
        <v>0</v>
      </c>
      <c r="AN301" s="32">
        <v>21</v>
      </c>
      <c r="AO301" s="32">
        <f>H301*0.00155369974752379</f>
        <v>0</v>
      </c>
      <c r="AP301" s="32">
        <f>H301*(1-0.00155369974752379)</f>
        <v>0</v>
      </c>
      <c r="AQ301" s="27" t="s">
        <v>7</v>
      </c>
      <c r="AV301" s="32">
        <f>AW301+AX301</f>
        <v>0</v>
      </c>
      <c r="AW301" s="32">
        <f>G301*AO301</f>
        <v>0</v>
      </c>
      <c r="AX301" s="32">
        <f>G301*AP301</f>
        <v>0</v>
      </c>
      <c r="AY301" s="33" t="s">
        <v>679</v>
      </c>
      <c r="AZ301" s="33" t="s">
        <v>691</v>
      </c>
      <c r="BA301" s="28" t="s">
        <v>692</v>
      </c>
      <c r="BC301" s="32">
        <f>AW301+AX301</f>
        <v>0</v>
      </c>
      <c r="BD301" s="32">
        <f>H301/(100-BE301)*100</f>
        <v>0</v>
      </c>
      <c r="BE301" s="32">
        <v>0</v>
      </c>
      <c r="BF301" s="32">
        <f>299</f>
        <v>299</v>
      </c>
      <c r="BH301" s="15">
        <f>G301*AO301</f>
        <v>0</v>
      </c>
      <c r="BI301" s="15">
        <f>G301*AP301</f>
        <v>0</v>
      </c>
      <c r="BJ301" s="15">
        <f>G301*H301</f>
        <v>0</v>
      </c>
    </row>
    <row r="302" spans="1:62" x14ac:dyDescent="0.2">
      <c r="C302" s="58" t="s">
        <v>544</v>
      </c>
      <c r="D302" s="59"/>
      <c r="E302" s="59"/>
      <c r="G302" s="16">
        <v>1210</v>
      </c>
    </row>
    <row r="303" spans="1:62" x14ac:dyDescent="0.2">
      <c r="A303" s="4" t="s">
        <v>104</v>
      </c>
      <c r="B303" s="4" t="s">
        <v>240</v>
      </c>
      <c r="C303" s="56" t="s">
        <v>545</v>
      </c>
      <c r="D303" s="57"/>
      <c r="E303" s="57"/>
      <c r="F303" s="4" t="s">
        <v>625</v>
      </c>
      <c r="G303" s="15">
        <v>360</v>
      </c>
      <c r="H303" s="15">
        <v>0</v>
      </c>
      <c r="I303" s="15">
        <f>G303*AO303</f>
        <v>0</v>
      </c>
      <c r="J303" s="15">
        <f>G303*AP303</f>
        <v>0</v>
      </c>
      <c r="K303" s="15">
        <f>G303*H303</f>
        <v>0</v>
      </c>
      <c r="L303" s="27" t="s">
        <v>648</v>
      </c>
      <c r="Z303" s="32">
        <f>IF(AQ303="5",BJ303,0)</f>
        <v>0</v>
      </c>
      <c r="AB303" s="32">
        <f>IF(AQ303="1",BH303,0)</f>
        <v>0</v>
      </c>
      <c r="AC303" s="32">
        <f>IF(AQ303="1",BI303,0)</f>
        <v>0</v>
      </c>
      <c r="AD303" s="32">
        <f>IF(AQ303="7",BH303,0)</f>
        <v>0</v>
      </c>
      <c r="AE303" s="32">
        <f>IF(AQ303="7",BI303,0)</f>
        <v>0</v>
      </c>
      <c r="AF303" s="32">
        <f>IF(AQ303="2",BH303,0)</f>
        <v>0</v>
      </c>
      <c r="AG303" s="32">
        <f>IF(AQ303="2",BI303,0)</f>
        <v>0</v>
      </c>
      <c r="AH303" s="32">
        <f>IF(AQ303="0",BJ303,0)</f>
        <v>0</v>
      </c>
      <c r="AI303" s="28"/>
      <c r="AJ303" s="15">
        <f>IF(AN303=0,K303,0)</f>
        <v>0</v>
      </c>
      <c r="AK303" s="15">
        <f>IF(AN303=15,K303,0)</f>
        <v>0</v>
      </c>
      <c r="AL303" s="15">
        <f>IF(AN303=21,K303,0)</f>
        <v>0</v>
      </c>
      <c r="AN303" s="32">
        <v>21</v>
      </c>
      <c r="AO303" s="32">
        <f>H303*0.0197556008146639</f>
        <v>0</v>
      </c>
      <c r="AP303" s="32">
        <f>H303*(1-0.0197556008146639)</f>
        <v>0</v>
      </c>
      <c r="AQ303" s="27" t="s">
        <v>7</v>
      </c>
      <c r="AV303" s="32">
        <f>AW303+AX303</f>
        <v>0</v>
      </c>
      <c r="AW303" s="32">
        <f>G303*AO303</f>
        <v>0</v>
      </c>
      <c r="AX303" s="32">
        <f>G303*AP303</f>
        <v>0</v>
      </c>
      <c r="AY303" s="33" t="s">
        <v>679</v>
      </c>
      <c r="AZ303" s="33" t="s">
        <v>691</v>
      </c>
      <c r="BA303" s="28" t="s">
        <v>692</v>
      </c>
      <c r="BC303" s="32">
        <f>AW303+AX303</f>
        <v>0</v>
      </c>
      <c r="BD303" s="32">
        <f>H303/(100-BE303)*100</f>
        <v>0</v>
      </c>
      <c r="BE303" s="32">
        <v>0</v>
      </c>
      <c r="BF303" s="32">
        <f>301</f>
        <v>301</v>
      </c>
      <c r="BH303" s="15">
        <f>G303*AO303</f>
        <v>0</v>
      </c>
      <c r="BI303" s="15">
        <f>G303*AP303</f>
        <v>0</v>
      </c>
      <c r="BJ303" s="15">
        <f>G303*H303</f>
        <v>0</v>
      </c>
    </row>
    <row r="304" spans="1:62" x14ac:dyDescent="0.2">
      <c r="C304" s="58" t="s">
        <v>546</v>
      </c>
      <c r="D304" s="59"/>
      <c r="E304" s="59"/>
      <c r="G304" s="16">
        <v>360</v>
      </c>
    </row>
    <row r="305" spans="1:62" x14ac:dyDescent="0.2">
      <c r="A305" s="4" t="s">
        <v>105</v>
      </c>
      <c r="B305" s="4" t="s">
        <v>240</v>
      </c>
      <c r="C305" s="56" t="s">
        <v>547</v>
      </c>
      <c r="D305" s="57"/>
      <c r="E305" s="57"/>
      <c r="F305" s="4" t="s">
        <v>625</v>
      </c>
      <c r="G305" s="15">
        <v>360</v>
      </c>
      <c r="H305" s="15">
        <v>0</v>
      </c>
      <c r="I305" s="15">
        <f>G305*AO305</f>
        <v>0</v>
      </c>
      <c r="J305" s="15">
        <f>G305*AP305</f>
        <v>0</v>
      </c>
      <c r="K305" s="15">
        <f>G305*H305</f>
        <v>0</v>
      </c>
      <c r="L305" s="27" t="s">
        <v>648</v>
      </c>
      <c r="Z305" s="32">
        <f>IF(AQ305="5",BJ305,0)</f>
        <v>0</v>
      </c>
      <c r="AB305" s="32">
        <f>IF(AQ305="1",BH305,0)</f>
        <v>0</v>
      </c>
      <c r="AC305" s="32">
        <f>IF(AQ305="1",BI305,0)</f>
        <v>0</v>
      </c>
      <c r="AD305" s="32">
        <f>IF(AQ305="7",BH305,0)</f>
        <v>0</v>
      </c>
      <c r="AE305" s="32">
        <f>IF(AQ305="7",BI305,0)</f>
        <v>0</v>
      </c>
      <c r="AF305" s="32">
        <f>IF(AQ305="2",BH305,0)</f>
        <v>0</v>
      </c>
      <c r="AG305" s="32">
        <f>IF(AQ305="2",BI305,0)</f>
        <v>0</v>
      </c>
      <c r="AH305" s="32">
        <f>IF(AQ305="0",BJ305,0)</f>
        <v>0</v>
      </c>
      <c r="AI305" s="28"/>
      <c r="AJ305" s="15">
        <f>IF(AN305=0,K305,0)</f>
        <v>0</v>
      </c>
      <c r="AK305" s="15">
        <f>IF(AN305=15,K305,0)</f>
        <v>0</v>
      </c>
      <c r="AL305" s="15">
        <f>IF(AN305=21,K305,0)</f>
        <v>0</v>
      </c>
      <c r="AN305" s="32">
        <v>21</v>
      </c>
      <c r="AO305" s="32">
        <f>H305*0.0197556008146639</f>
        <v>0</v>
      </c>
      <c r="AP305" s="32">
        <f>H305*(1-0.0197556008146639)</f>
        <v>0</v>
      </c>
      <c r="AQ305" s="27" t="s">
        <v>7</v>
      </c>
      <c r="AV305" s="32">
        <f>AW305+AX305</f>
        <v>0</v>
      </c>
      <c r="AW305" s="32">
        <f>G305*AO305</f>
        <v>0</v>
      </c>
      <c r="AX305" s="32">
        <f>G305*AP305</f>
        <v>0</v>
      </c>
      <c r="AY305" s="33" t="s">
        <v>679</v>
      </c>
      <c r="AZ305" s="33" t="s">
        <v>691</v>
      </c>
      <c r="BA305" s="28" t="s">
        <v>692</v>
      </c>
      <c r="BC305" s="32">
        <f>AW305+AX305</f>
        <v>0</v>
      </c>
      <c r="BD305" s="32">
        <f>H305/(100-BE305)*100</f>
        <v>0</v>
      </c>
      <c r="BE305" s="32">
        <v>0</v>
      </c>
      <c r="BF305" s="32">
        <f>303</f>
        <v>303</v>
      </c>
      <c r="BH305" s="15">
        <f>G305*AO305</f>
        <v>0</v>
      </c>
      <c r="BI305" s="15">
        <f>G305*AP305</f>
        <v>0</v>
      </c>
      <c r="BJ305" s="15">
        <f>G305*H305</f>
        <v>0</v>
      </c>
    </row>
    <row r="306" spans="1:62" x14ac:dyDescent="0.2">
      <c r="C306" s="58" t="s">
        <v>548</v>
      </c>
      <c r="D306" s="59"/>
      <c r="E306" s="59"/>
      <c r="G306" s="16">
        <v>360</v>
      </c>
    </row>
    <row r="307" spans="1:62" x14ac:dyDescent="0.2">
      <c r="A307" s="4" t="s">
        <v>106</v>
      </c>
      <c r="B307" s="4" t="s">
        <v>241</v>
      </c>
      <c r="C307" s="56" t="s">
        <v>549</v>
      </c>
      <c r="D307" s="57"/>
      <c r="E307" s="57"/>
      <c r="F307" s="4" t="s">
        <v>625</v>
      </c>
      <c r="G307" s="15">
        <v>1243.3399999999999</v>
      </c>
      <c r="H307" s="15">
        <v>0</v>
      </c>
      <c r="I307" s="15">
        <f>G307*AO307</f>
        <v>0</v>
      </c>
      <c r="J307" s="15">
        <f>G307*AP307</f>
        <v>0</v>
      </c>
      <c r="K307" s="15">
        <f>G307*H307</f>
        <v>0</v>
      </c>
      <c r="L307" s="27"/>
      <c r="Z307" s="32">
        <f>IF(AQ307="5",BJ307,0)</f>
        <v>0</v>
      </c>
      <c r="AB307" s="32">
        <f>IF(AQ307="1",BH307,0)</f>
        <v>0</v>
      </c>
      <c r="AC307" s="32">
        <f>IF(AQ307="1",BI307,0)</f>
        <v>0</v>
      </c>
      <c r="AD307" s="32">
        <f>IF(AQ307="7",BH307,0)</f>
        <v>0</v>
      </c>
      <c r="AE307" s="32">
        <f>IF(AQ307="7",BI307,0)</f>
        <v>0</v>
      </c>
      <c r="AF307" s="32">
        <f>IF(AQ307="2",BH307,0)</f>
        <v>0</v>
      </c>
      <c r="AG307" s="32">
        <f>IF(AQ307="2",BI307,0)</f>
        <v>0</v>
      </c>
      <c r="AH307" s="32">
        <f>IF(AQ307="0",BJ307,0)</f>
        <v>0</v>
      </c>
      <c r="AI307" s="28"/>
      <c r="AJ307" s="15">
        <f>IF(AN307=0,K307,0)</f>
        <v>0</v>
      </c>
      <c r="AK307" s="15">
        <f>IF(AN307=15,K307,0)</f>
        <v>0</v>
      </c>
      <c r="AL307" s="15">
        <f>IF(AN307=21,K307,0)</f>
        <v>0</v>
      </c>
      <c r="AN307" s="32">
        <v>21</v>
      </c>
      <c r="AO307" s="32">
        <f>H307*0</f>
        <v>0</v>
      </c>
      <c r="AP307" s="32">
        <f>H307*(1-0)</f>
        <v>0</v>
      </c>
      <c r="AQ307" s="27" t="s">
        <v>7</v>
      </c>
      <c r="AV307" s="32">
        <f>AW307+AX307</f>
        <v>0</v>
      </c>
      <c r="AW307" s="32">
        <f>G307*AO307</f>
        <v>0</v>
      </c>
      <c r="AX307" s="32">
        <f>G307*AP307</f>
        <v>0</v>
      </c>
      <c r="AY307" s="33" t="s">
        <v>679</v>
      </c>
      <c r="AZ307" s="33" t="s">
        <v>691</v>
      </c>
      <c r="BA307" s="28" t="s">
        <v>692</v>
      </c>
      <c r="BC307" s="32">
        <f>AW307+AX307</f>
        <v>0</v>
      </c>
      <c r="BD307" s="32">
        <f>H307/(100-BE307)*100</f>
        <v>0</v>
      </c>
      <c r="BE307" s="32">
        <v>0</v>
      </c>
      <c r="BF307" s="32">
        <f>305</f>
        <v>305</v>
      </c>
      <c r="BH307" s="15">
        <f>G307*AO307</f>
        <v>0</v>
      </c>
      <c r="BI307" s="15">
        <f>G307*AP307</f>
        <v>0</v>
      </c>
      <c r="BJ307" s="15">
        <f>G307*H307</f>
        <v>0</v>
      </c>
    </row>
    <row r="308" spans="1:62" x14ac:dyDescent="0.2">
      <c r="C308" s="58" t="s">
        <v>550</v>
      </c>
      <c r="D308" s="59"/>
      <c r="E308" s="59"/>
      <c r="G308" s="16">
        <v>283.10000000000002</v>
      </c>
    </row>
    <row r="309" spans="1:62" x14ac:dyDescent="0.2">
      <c r="C309" s="58" t="s">
        <v>551</v>
      </c>
      <c r="D309" s="59"/>
      <c r="E309" s="59"/>
      <c r="G309" s="16">
        <v>767.4</v>
      </c>
    </row>
    <row r="310" spans="1:62" x14ac:dyDescent="0.2">
      <c r="C310" s="58" t="s">
        <v>552</v>
      </c>
      <c r="D310" s="59"/>
      <c r="E310" s="59"/>
      <c r="G310" s="16">
        <v>192.84</v>
      </c>
    </row>
    <row r="311" spans="1:62" x14ac:dyDescent="0.2">
      <c r="C311" s="58" t="s">
        <v>553</v>
      </c>
      <c r="D311" s="59"/>
      <c r="E311" s="59"/>
      <c r="G311" s="16">
        <v>0</v>
      </c>
    </row>
    <row r="312" spans="1:62" x14ac:dyDescent="0.2">
      <c r="A312" s="4" t="s">
        <v>107</v>
      </c>
      <c r="B312" s="4" t="s">
        <v>242</v>
      </c>
      <c r="C312" s="56" t="s">
        <v>554</v>
      </c>
      <c r="D312" s="57"/>
      <c r="E312" s="57"/>
      <c r="F312" s="4" t="s">
        <v>625</v>
      </c>
      <c r="G312" s="15">
        <v>1243.3399999999999</v>
      </c>
      <c r="H312" s="15">
        <v>0</v>
      </c>
      <c r="I312" s="15">
        <f>G312*AO312</f>
        <v>0</v>
      </c>
      <c r="J312" s="15">
        <f>G312*AP312</f>
        <v>0</v>
      </c>
      <c r="K312" s="15">
        <f>G312*H312</f>
        <v>0</v>
      </c>
      <c r="L312" s="27" t="s">
        <v>648</v>
      </c>
      <c r="Z312" s="32">
        <f>IF(AQ312="5",BJ312,0)</f>
        <v>0</v>
      </c>
      <c r="AB312" s="32">
        <f>IF(AQ312="1",BH312,0)</f>
        <v>0</v>
      </c>
      <c r="AC312" s="32">
        <f>IF(AQ312="1",BI312,0)</f>
        <v>0</v>
      </c>
      <c r="AD312" s="32">
        <f>IF(AQ312="7",BH312,0)</f>
        <v>0</v>
      </c>
      <c r="AE312" s="32">
        <f>IF(AQ312="7",BI312,0)</f>
        <v>0</v>
      </c>
      <c r="AF312" s="32">
        <f>IF(AQ312="2",BH312,0)</f>
        <v>0</v>
      </c>
      <c r="AG312" s="32">
        <f>IF(AQ312="2",BI312,0)</f>
        <v>0</v>
      </c>
      <c r="AH312" s="32">
        <f>IF(AQ312="0",BJ312,0)</f>
        <v>0</v>
      </c>
      <c r="AI312" s="28"/>
      <c r="AJ312" s="15">
        <f>IF(AN312=0,K312,0)</f>
        <v>0</v>
      </c>
      <c r="AK312" s="15">
        <f>IF(AN312=15,K312,0)</f>
        <v>0</v>
      </c>
      <c r="AL312" s="15">
        <f>IF(AN312=21,K312,0)</f>
        <v>0</v>
      </c>
      <c r="AN312" s="32">
        <v>21</v>
      </c>
      <c r="AO312" s="32">
        <f>H312*0</f>
        <v>0</v>
      </c>
      <c r="AP312" s="32">
        <f>H312*(1-0)</f>
        <v>0</v>
      </c>
      <c r="AQ312" s="27" t="s">
        <v>7</v>
      </c>
      <c r="AV312" s="32">
        <f>AW312+AX312</f>
        <v>0</v>
      </c>
      <c r="AW312" s="32">
        <f>G312*AO312</f>
        <v>0</v>
      </c>
      <c r="AX312" s="32">
        <f>G312*AP312</f>
        <v>0</v>
      </c>
      <c r="AY312" s="33" t="s">
        <v>679</v>
      </c>
      <c r="AZ312" s="33" t="s">
        <v>691</v>
      </c>
      <c r="BA312" s="28" t="s">
        <v>692</v>
      </c>
      <c r="BC312" s="32">
        <f>AW312+AX312</f>
        <v>0</v>
      </c>
      <c r="BD312" s="32">
        <f>H312/(100-BE312)*100</f>
        <v>0</v>
      </c>
      <c r="BE312" s="32">
        <v>0</v>
      </c>
      <c r="BF312" s="32">
        <f>310</f>
        <v>310</v>
      </c>
      <c r="BH312" s="15">
        <f>G312*AO312</f>
        <v>0</v>
      </c>
      <c r="BI312" s="15">
        <f>G312*AP312</f>
        <v>0</v>
      </c>
      <c r="BJ312" s="15">
        <f>G312*H312</f>
        <v>0</v>
      </c>
    </row>
    <row r="313" spans="1:62" x14ac:dyDescent="0.2">
      <c r="C313" s="58" t="s">
        <v>555</v>
      </c>
      <c r="D313" s="59"/>
      <c r="E313" s="59"/>
      <c r="G313" s="16">
        <v>1243.3399999999999</v>
      </c>
    </row>
    <row r="314" spans="1:62" x14ac:dyDescent="0.2">
      <c r="A314" s="5"/>
      <c r="B314" s="13" t="s">
        <v>102</v>
      </c>
      <c r="C314" s="66" t="s">
        <v>556</v>
      </c>
      <c r="D314" s="67"/>
      <c r="E314" s="67"/>
      <c r="F314" s="5" t="s">
        <v>6</v>
      </c>
      <c r="G314" s="5" t="s">
        <v>6</v>
      </c>
      <c r="H314" s="5" t="s">
        <v>6</v>
      </c>
      <c r="I314" s="35">
        <f>SUM(I315:I349)</f>
        <v>0</v>
      </c>
      <c r="J314" s="35">
        <f>SUM(J315:J349)</f>
        <v>0</v>
      </c>
      <c r="K314" s="35">
        <f>SUM(K315:K349)</f>
        <v>0</v>
      </c>
      <c r="L314" s="28"/>
      <c r="AI314" s="28"/>
      <c r="AS314" s="35">
        <f>SUM(AJ315:AJ349)</f>
        <v>0</v>
      </c>
      <c r="AT314" s="35">
        <f>SUM(AK315:AK349)</f>
        <v>0</v>
      </c>
      <c r="AU314" s="35">
        <f>SUM(AL315:AL349)</f>
        <v>0</v>
      </c>
    </row>
    <row r="315" spans="1:62" x14ac:dyDescent="0.2">
      <c r="A315" s="4" t="s">
        <v>108</v>
      </c>
      <c r="B315" s="4" t="s">
        <v>243</v>
      </c>
      <c r="C315" s="56" t="s">
        <v>557</v>
      </c>
      <c r="D315" s="57"/>
      <c r="E315" s="57"/>
      <c r="F315" s="4" t="s">
        <v>626</v>
      </c>
      <c r="G315" s="15">
        <v>6.7050000000000001</v>
      </c>
      <c r="H315" s="15">
        <v>0</v>
      </c>
      <c r="I315" s="15">
        <f>G315*AO315</f>
        <v>0</v>
      </c>
      <c r="J315" s="15">
        <f>G315*AP315</f>
        <v>0</v>
      </c>
      <c r="K315" s="15">
        <f>G315*H315</f>
        <v>0</v>
      </c>
      <c r="L315" s="27" t="s">
        <v>648</v>
      </c>
      <c r="Z315" s="32">
        <f>IF(AQ315="5",BJ315,0)</f>
        <v>0</v>
      </c>
      <c r="AB315" s="32">
        <f>IF(AQ315="1",BH315,0)</f>
        <v>0</v>
      </c>
      <c r="AC315" s="32">
        <f>IF(AQ315="1",BI315,0)</f>
        <v>0</v>
      </c>
      <c r="AD315" s="32">
        <f>IF(AQ315="7",BH315,0)</f>
        <v>0</v>
      </c>
      <c r="AE315" s="32">
        <f>IF(AQ315="7",BI315,0)</f>
        <v>0</v>
      </c>
      <c r="AF315" s="32">
        <f>IF(AQ315="2",BH315,0)</f>
        <v>0</v>
      </c>
      <c r="AG315" s="32">
        <f>IF(AQ315="2",BI315,0)</f>
        <v>0</v>
      </c>
      <c r="AH315" s="32">
        <f>IF(AQ315="0",BJ315,0)</f>
        <v>0</v>
      </c>
      <c r="AI315" s="28"/>
      <c r="AJ315" s="15">
        <f>IF(AN315=0,K315,0)</f>
        <v>0</v>
      </c>
      <c r="AK315" s="15">
        <f>IF(AN315=15,K315,0)</f>
        <v>0</v>
      </c>
      <c r="AL315" s="15">
        <f>IF(AN315=21,K315,0)</f>
        <v>0</v>
      </c>
      <c r="AN315" s="32">
        <v>21</v>
      </c>
      <c r="AO315" s="32">
        <f>H315*0</f>
        <v>0</v>
      </c>
      <c r="AP315" s="32">
        <f>H315*(1-0)</f>
        <v>0</v>
      </c>
      <c r="AQ315" s="27" t="s">
        <v>7</v>
      </c>
      <c r="AV315" s="32">
        <f>AW315+AX315</f>
        <v>0</v>
      </c>
      <c r="AW315" s="32">
        <f>G315*AO315</f>
        <v>0</v>
      </c>
      <c r="AX315" s="32">
        <f>G315*AP315</f>
        <v>0</v>
      </c>
      <c r="AY315" s="33" t="s">
        <v>680</v>
      </c>
      <c r="AZ315" s="33" t="s">
        <v>691</v>
      </c>
      <c r="BA315" s="28" t="s">
        <v>692</v>
      </c>
      <c r="BC315" s="32">
        <f>AW315+AX315</f>
        <v>0</v>
      </c>
      <c r="BD315" s="32">
        <f>H315/(100-BE315)*100</f>
        <v>0</v>
      </c>
      <c r="BE315" s="32">
        <v>0</v>
      </c>
      <c r="BF315" s="32">
        <f>313</f>
        <v>313</v>
      </c>
      <c r="BH315" s="15">
        <f>G315*AO315</f>
        <v>0</v>
      </c>
      <c r="BI315" s="15">
        <f>G315*AP315</f>
        <v>0</v>
      </c>
      <c r="BJ315" s="15">
        <f>G315*H315</f>
        <v>0</v>
      </c>
    </row>
    <row r="316" spans="1:62" x14ac:dyDescent="0.2">
      <c r="C316" s="58" t="s">
        <v>558</v>
      </c>
      <c r="D316" s="59"/>
      <c r="E316" s="59"/>
      <c r="G316" s="16">
        <v>6.7050000000000001</v>
      </c>
    </row>
    <row r="317" spans="1:62" x14ac:dyDescent="0.2">
      <c r="A317" s="4" t="s">
        <v>109</v>
      </c>
      <c r="B317" s="4" t="s">
        <v>244</v>
      </c>
      <c r="C317" s="56" t="s">
        <v>559</v>
      </c>
      <c r="D317" s="57"/>
      <c r="E317" s="57"/>
      <c r="F317" s="4" t="s">
        <v>625</v>
      </c>
      <c r="G317" s="15">
        <v>118.14960000000001</v>
      </c>
      <c r="H317" s="15">
        <v>0</v>
      </c>
      <c r="I317" s="15">
        <f>G317*AO317</f>
        <v>0</v>
      </c>
      <c r="J317" s="15">
        <f>G317*AP317</f>
        <v>0</v>
      </c>
      <c r="K317" s="15">
        <f>G317*H317</f>
        <v>0</v>
      </c>
      <c r="L317" s="27" t="s">
        <v>648</v>
      </c>
      <c r="Z317" s="32">
        <f>IF(AQ317="5",BJ317,0)</f>
        <v>0</v>
      </c>
      <c r="AB317" s="32">
        <f>IF(AQ317="1",BH317,0)</f>
        <v>0</v>
      </c>
      <c r="AC317" s="32">
        <f>IF(AQ317="1",BI317,0)</f>
        <v>0</v>
      </c>
      <c r="AD317" s="32">
        <f>IF(AQ317="7",BH317,0)</f>
        <v>0</v>
      </c>
      <c r="AE317" s="32">
        <f>IF(AQ317="7",BI317,0)</f>
        <v>0</v>
      </c>
      <c r="AF317" s="32">
        <f>IF(AQ317="2",BH317,0)</f>
        <v>0</v>
      </c>
      <c r="AG317" s="32">
        <f>IF(AQ317="2",BI317,0)</f>
        <v>0</v>
      </c>
      <c r="AH317" s="32">
        <f>IF(AQ317="0",BJ317,0)</f>
        <v>0</v>
      </c>
      <c r="AI317" s="28"/>
      <c r="AJ317" s="15">
        <f>IF(AN317=0,K317,0)</f>
        <v>0</v>
      </c>
      <c r="AK317" s="15">
        <f>IF(AN317=15,K317,0)</f>
        <v>0</v>
      </c>
      <c r="AL317" s="15">
        <f>IF(AN317=21,K317,0)</f>
        <v>0</v>
      </c>
      <c r="AN317" s="32">
        <v>21</v>
      </c>
      <c r="AO317" s="32">
        <f>H317*0.0772610054976735</f>
        <v>0</v>
      </c>
      <c r="AP317" s="32">
        <f>H317*(1-0.0772610054976735)</f>
        <v>0</v>
      </c>
      <c r="AQ317" s="27" t="s">
        <v>7</v>
      </c>
      <c r="AV317" s="32">
        <f>AW317+AX317</f>
        <v>0</v>
      </c>
      <c r="AW317" s="32">
        <f>G317*AO317</f>
        <v>0</v>
      </c>
      <c r="AX317" s="32">
        <f>G317*AP317</f>
        <v>0</v>
      </c>
      <c r="AY317" s="33" t="s">
        <v>680</v>
      </c>
      <c r="AZ317" s="33" t="s">
        <v>691</v>
      </c>
      <c r="BA317" s="28" t="s">
        <v>692</v>
      </c>
      <c r="BC317" s="32">
        <f>AW317+AX317</f>
        <v>0</v>
      </c>
      <c r="BD317" s="32">
        <f>H317/(100-BE317)*100</f>
        <v>0</v>
      </c>
      <c r="BE317" s="32">
        <v>0</v>
      </c>
      <c r="BF317" s="32">
        <f>315</f>
        <v>315</v>
      </c>
      <c r="BH317" s="15">
        <f>G317*AO317</f>
        <v>0</v>
      </c>
      <c r="BI317" s="15">
        <f>G317*AP317</f>
        <v>0</v>
      </c>
      <c r="BJ317" s="15">
        <f>G317*H317</f>
        <v>0</v>
      </c>
    </row>
    <row r="318" spans="1:62" x14ac:dyDescent="0.2">
      <c r="C318" s="58" t="s">
        <v>560</v>
      </c>
      <c r="D318" s="59"/>
      <c r="E318" s="59"/>
      <c r="G318" s="16">
        <v>11.568</v>
      </c>
    </row>
    <row r="319" spans="1:62" x14ac:dyDescent="0.2">
      <c r="C319" s="58" t="s">
        <v>561</v>
      </c>
      <c r="D319" s="59"/>
      <c r="E319" s="59"/>
      <c r="G319" s="16">
        <v>106.58159999999999</v>
      </c>
    </row>
    <row r="320" spans="1:62" x14ac:dyDescent="0.2">
      <c r="A320" s="4" t="s">
        <v>110</v>
      </c>
      <c r="B320" s="4" t="s">
        <v>245</v>
      </c>
      <c r="C320" s="56" t="s">
        <v>562</v>
      </c>
      <c r="D320" s="57"/>
      <c r="E320" s="57"/>
      <c r="F320" s="4" t="s">
        <v>629</v>
      </c>
      <c r="G320" s="15">
        <v>37</v>
      </c>
      <c r="H320" s="15">
        <v>0</v>
      </c>
      <c r="I320" s="15">
        <f>G320*AO320</f>
        <v>0</v>
      </c>
      <c r="J320" s="15">
        <f>G320*AP320</f>
        <v>0</v>
      </c>
      <c r="K320" s="15">
        <f>G320*H320</f>
        <v>0</v>
      </c>
      <c r="L320" s="27" t="s">
        <v>648</v>
      </c>
      <c r="Z320" s="32">
        <f>IF(AQ320="5",BJ320,0)</f>
        <v>0</v>
      </c>
      <c r="AB320" s="32">
        <f>IF(AQ320="1",BH320,0)</f>
        <v>0</v>
      </c>
      <c r="AC320" s="32">
        <f>IF(AQ320="1",BI320,0)</f>
        <v>0</v>
      </c>
      <c r="AD320" s="32">
        <f>IF(AQ320="7",BH320,0)</f>
        <v>0</v>
      </c>
      <c r="AE320" s="32">
        <f>IF(AQ320="7",BI320,0)</f>
        <v>0</v>
      </c>
      <c r="AF320" s="32">
        <f>IF(AQ320="2",BH320,0)</f>
        <v>0</v>
      </c>
      <c r="AG320" s="32">
        <f>IF(AQ320="2",BI320,0)</f>
        <v>0</v>
      </c>
      <c r="AH320" s="32">
        <f>IF(AQ320="0",BJ320,0)</f>
        <v>0</v>
      </c>
      <c r="AI320" s="28"/>
      <c r="AJ320" s="15">
        <f>IF(AN320=0,K320,0)</f>
        <v>0</v>
      </c>
      <c r="AK320" s="15">
        <f>IF(AN320=15,K320,0)</f>
        <v>0</v>
      </c>
      <c r="AL320" s="15">
        <f>IF(AN320=21,K320,0)</f>
        <v>0</v>
      </c>
      <c r="AN320" s="32">
        <v>21</v>
      </c>
      <c r="AO320" s="32">
        <f>H320*0</f>
        <v>0</v>
      </c>
      <c r="AP320" s="32">
        <f>H320*(1-0)</f>
        <v>0</v>
      </c>
      <c r="AQ320" s="27" t="s">
        <v>7</v>
      </c>
      <c r="AV320" s="32">
        <f>AW320+AX320</f>
        <v>0</v>
      </c>
      <c r="AW320" s="32">
        <f>G320*AO320</f>
        <v>0</v>
      </c>
      <c r="AX320" s="32">
        <f>G320*AP320</f>
        <v>0</v>
      </c>
      <c r="AY320" s="33" t="s">
        <v>680</v>
      </c>
      <c r="AZ320" s="33" t="s">
        <v>691</v>
      </c>
      <c r="BA320" s="28" t="s">
        <v>692</v>
      </c>
      <c r="BC320" s="32">
        <f>AW320+AX320</f>
        <v>0</v>
      </c>
      <c r="BD320" s="32">
        <f>H320/(100-BE320)*100</f>
        <v>0</v>
      </c>
      <c r="BE320" s="32">
        <v>0</v>
      </c>
      <c r="BF320" s="32">
        <f>318</f>
        <v>318</v>
      </c>
      <c r="BH320" s="15">
        <f>G320*AO320</f>
        <v>0</v>
      </c>
      <c r="BI320" s="15">
        <f>G320*AP320</f>
        <v>0</v>
      </c>
      <c r="BJ320" s="15">
        <f>G320*H320</f>
        <v>0</v>
      </c>
    </row>
    <row r="321" spans="1:62" x14ac:dyDescent="0.2">
      <c r="C321" s="58" t="s">
        <v>563</v>
      </c>
      <c r="D321" s="59"/>
      <c r="E321" s="59"/>
      <c r="G321" s="16">
        <v>22</v>
      </c>
    </row>
    <row r="322" spans="1:62" x14ac:dyDescent="0.2">
      <c r="C322" s="58" t="s">
        <v>564</v>
      </c>
      <c r="D322" s="59"/>
      <c r="E322" s="59"/>
      <c r="G322" s="16">
        <v>3</v>
      </c>
    </row>
    <row r="323" spans="1:62" x14ac:dyDescent="0.2">
      <c r="C323" s="58" t="s">
        <v>565</v>
      </c>
      <c r="D323" s="59"/>
      <c r="E323" s="59"/>
      <c r="G323" s="16">
        <v>12</v>
      </c>
    </row>
    <row r="324" spans="1:62" x14ac:dyDescent="0.2">
      <c r="A324" s="4" t="s">
        <v>111</v>
      </c>
      <c r="B324" s="4" t="s">
        <v>246</v>
      </c>
      <c r="C324" s="56" t="s">
        <v>566</v>
      </c>
      <c r="D324" s="57"/>
      <c r="E324" s="57"/>
      <c r="F324" s="4" t="s">
        <v>625</v>
      </c>
      <c r="G324" s="15">
        <v>9.0719999999999992</v>
      </c>
      <c r="H324" s="15">
        <v>0</v>
      </c>
      <c r="I324" s="15">
        <f>G324*AO324</f>
        <v>0</v>
      </c>
      <c r="J324" s="15">
        <f>G324*AP324</f>
        <v>0</v>
      </c>
      <c r="K324" s="15">
        <f>G324*H324</f>
        <v>0</v>
      </c>
      <c r="L324" s="27" t="s">
        <v>648</v>
      </c>
      <c r="Z324" s="32">
        <f>IF(AQ324="5",BJ324,0)</f>
        <v>0</v>
      </c>
      <c r="AB324" s="32">
        <f>IF(AQ324="1",BH324,0)</f>
        <v>0</v>
      </c>
      <c r="AC324" s="32">
        <f>IF(AQ324="1",BI324,0)</f>
        <v>0</v>
      </c>
      <c r="AD324" s="32">
        <f>IF(AQ324="7",BH324,0)</f>
        <v>0</v>
      </c>
      <c r="AE324" s="32">
        <f>IF(AQ324="7",BI324,0)</f>
        <v>0</v>
      </c>
      <c r="AF324" s="32">
        <f>IF(AQ324="2",BH324,0)</f>
        <v>0</v>
      </c>
      <c r="AG324" s="32">
        <f>IF(AQ324="2",BI324,0)</f>
        <v>0</v>
      </c>
      <c r="AH324" s="32">
        <f>IF(AQ324="0",BJ324,0)</f>
        <v>0</v>
      </c>
      <c r="AI324" s="28"/>
      <c r="AJ324" s="15">
        <f>IF(AN324=0,K324,0)</f>
        <v>0</v>
      </c>
      <c r="AK324" s="15">
        <f>IF(AN324=15,K324,0)</f>
        <v>0</v>
      </c>
      <c r="AL324" s="15">
        <f>IF(AN324=21,K324,0)</f>
        <v>0</v>
      </c>
      <c r="AN324" s="32">
        <v>21</v>
      </c>
      <c r="AO324" s="32">
        <f>H324*0.205795918367347</f>
        <v>0</v>
      </c>
      <c r="AP324" s="32">
        <f>H324*(1-0.205795918367347)</f>
        <v>0</v>
      </c>
      <c r="AQ324" s="27" t="s">
        <v>7</v>
      </c>
      <c r="AV324" s="32">
        <f>AW324+AX324</f>
        <v>0</v>
      </c>
      <c r="AW324" s="32">
        <f>G324*AO324</f>
        <v>0</v>
      </c>
      <c r="AX324" s="32">
        <f>G324*AP324</f>
        <v>0</v>
      </c>
      <c r="AY324" s="33" t="s">
        <v>680</v>
      </c>
      <c r="AZ324" s="33" t="s">
        <v>691</v>
      </c>
      <c r="BA324" s="28" t="s">
        <v>692</v>
      </c>
      <c r="BC324" s="32">
        <f>AW324+AX324</f>
        <v>0</v>
      </c>
      <c r="BD324" s="32">
        <f>H324/(100-BE324)*100</f>
        <v>0</v>
      </c>
      <c r="BE324" s="32">
        <v>0</v>
      </c>
      <c r="BF324" s="32">
        <f>322</f>
        <v>322</v>
      </c>
      <c r="BH324" s="15">
        <f>G324*AO324</f>
        <v>0</v>
      </c>
      <c r="BI324" s="15">
        <f>G324*AP324</f>
        <v>0</v>
      </c>
      <c r="BJ324" s="15">
        <f>G324*H324</f>
        <v>0</v>
      </c>
    </row>
    <row r="325" spans="1:62" x14ac:dyDescent="0.2">
      <c r="C325" s="58" t="s">
        <v>567</v>
      </c>
      <c r="D325" s="59"/>
      <c r="E325" s="59"/>
      <c r="G325" s="16">
        <v>9.0719999999999992</v>
      </c>
    </row>
    <row r="326" spans="1:62" x14ac:dyDescent="0.2">
      <c r="A326" s="4" t="s">
        <v>112</v>
      </c>
      <c r="B326" s="4" t="s">
        <v>247</v>
      </c>
      <c r="C326" s="56" t="s">
        <v>568</v>
      </c>
      <c r="D326" s="57"/>
      <c r="E326" s="57"/>
      <c r="F326" s="4" t="s">
        <v>629</v>
      </c>
      <c r="G326" s="15">
        <v>23</v>
      </c>
      <c r="H326" s="15">
        <v>0</v>
      </c>
      <c r="I326" s="15">
        <f>G326*AO326</f>
        <v>0</v>
      </c>
      <c r="J326" s="15">
        <f>G326*AP326</f>
        <v>0</v>
      </c>
      <c r="K326" s="15">
        <f>G326*H326</f>
        <v>0</v>
      </c>
      <c r="L326" s="27" t="s">
        <v>648</v>
      </c>
      <c r="Z326" s="32">
        <f>IF(AQ326="5",BJ326,0)</f>
        <v>0</v>
      </c>
      <c r="AB326" s="32">
        <f>IF(AQ326="1",BH326,0)</f>
        <v>0</v>
      </c>
      <c r="AC326" s="32">
        <f>IF(AQ326="1",BI326,0)</f>
        <v>0</v>
      </c>
      <c r="AD326" s="32">
        <f>IF(AQ326="7",BH326,0)</f>
        <v>0</v>
      </c>
      <c r="AE326" s="32">
        <f>IF(AQ326="7",BI326,0)</f>
        <v>0</v>
      </c>
      <c r="AF326" s="32">
        <f>IF(AQ326="2",BH326,0)</f>
        <v>0</v>
      </c>
      <c r="AG326" s="32">
        <f>IF(AQ326="2",BI326,0)</f>
        <v>0</v>
      </c>
      <c r="AH326" s="32">
        <f>IF(AQ326="0",BJ326,0)</f>
        <v>0</v>
      </c>
      <c r="AI326" s="28"/>
      <c r="AJ326" s="15">
        <f>IF(AN326=0,K326,0)</f>
        <v>0</v>
      </c>
      <c r="AK326" s="15">
        <f>IF(AN326=15,K326,0)</f>
        <v>0</v>
      </c>
      <c r="AL326" s="15">
        <f>IF(AN326=21,K326,0)</f>
        <v>0</v>
      </c>
      <c r="AN326" s="32">
        <v>21</v>
      </c>
      <c r="AO326" s="32">
        <f>H326*0</f>
        <v>0</v>
      </c>
      <c r="AP326" s="32">
        <f>H326*(1-0)</f>
        <v>0</v>
      </c>
      <c r="AQ326" s="27" t="s">
        <v>7</v>
      </c>
      <c r="AV326" s="32">
        <f>AW326+AX326</f>
        <v>0</v>
      </c>
      <c r="AW326" s="32">
        <f>G326*AO326</f>
        <v>0</v>
      </c>
      <c r="AX326" s="32">
        <f>G326*AP326</f>
        <v>0</v>
      </c>
      <c r="AY326" s="33" t="s">
        <v>680</v>
      </c>
      <c r="AZ326" s="33" t="s">
        <v>691</v>
      </c>
      <c r="BA326" s="28" t="s">
        <v>692</v>
      </c>
      <c r="BC326" s="32">
        <f>AW326+AX326</f>
        <v>0</v>
      </c>
      <c r="BD326" s="32">
        <f>H326/(100-BE326)*100</f>
        <v>0</v>
      </c>
      <c r="BE326" s="32">
        <v>0</v>
      </c>
      <c r="BF326" s="32">
        <f>324</f>
        <v>324</v>
      </c>
      <c r="BH326" s="15">
        <f>G326*AO326</f>
        <v>0</v>
      </c>
      <c r="BI326" s="15">
        <f>G326*AP326</f>
        <v>0</v>
      </c>
      <c r="BJ326" s="15">
        <f>G326*H326</f>
        <v>0</v>
      </c>
    </row>
    <row r="327" spans="1:62" x14ac:dyDescent="0.2">
      <c r="C327" s="58" t="s">
        <v>569</v>
      </c>
      <c r="D327" s="59"/>
      <c r="E327" s="59"/>
      <c r="G327" s="16">
        <v>20</v>
      </c>
    </row>
    <row r="328" spans="1:62" x14ac:dyDescent="0.2">
      <c r="C328" s="58" t="s">
        <v>570</v>
      </c>
      <c r="D328" s="59"/>
      <c r="E328" s="59"/>
      <c r="G328" s="16">
        <v>3</v>
      </c>
    </row>
    <row r="329" spans="1:62" x14ac:dyDescent="0.2">
      <c r="A329" s="4" t="s">
        <v>113</v>
      </c>
      <c r="B329" s="4" t="s">
        <v>248</v>
      </c>
      <c r="C329" s="56" t="s">
        <v>571</v>
      </c>
      <c r="D329" s="57"/>
      <c r="E329" s="57"/>
      <c r="F329" s="4" t="s">
        <v>625</v>
      </c>
      <c r="G329" s="15">
        <v>84.78</v>
      </c>
      <c r="H329" s="15">
        <v>0</v>
      </c>
      <c r="I329" s="15">
        <f>G329*AO329</f>
        <v>0</v>
      </c>
      <c r="J329" s="15">
        <f>G329*AP329</f>
        <v>0</v>
      </c>
      <c r="K329" s="15">
        <f>G329*H329</f>
        <v>0</v>
      </c>
      <c r="L329" s="27" t="s">
        <v>648</v>
      </c>
      <c r="Z329" s="32">
        <f>IF(AQ329="5",BJ329,0)</f>
        <v>0</v>
      </c>
      <c r="AB329" s="32">
        <f>IF(AQ329="1",BH329,0)</f>
        <v>0</v>
      </c>
      <c r="AC329" s="32">
        <f>IF(AQ329="1",BI329,0)</f>
        <v>0</v>
      </c>
      <c r="AD329" s="32">
        <f>IF(AQ329="7",BH329,0)</f>
        <v>0</v>
      </c>
      <c r="AE329" s="32">
        <f>IF(AQ329="7",BI329,0)</f>
        <v>0</v>
      </c>
      <c r="AF329" s="32">
        <f>IF(AQ329="2",BH329,0)</f>
        <v>0</v>
      </c>
      <c r="AG329" s="32">
        <f>IF(AQ329="2",BI329,0)</f>
        <v>0</v>
      </c>
      <c r="AH329" s="32">
        <f>IF(AQ329="0",BJ329,0)</f>
        <v>0</v>
      </c>
      <c r="AI329" s="28"/>
      <c r="AJ329" s="15">
        <f>IF(AN329=0,K329,0)</f>
        <v>0</v>
      </c>
      <c r="AK329" s="15">
        <f>IF(AN329=15,K329,0)</f>
        <v>0</v>
      </c>
      <c r="AL329" s="15">
        <f>IF(AN329=21,K329,0)</f>
        <v>0</v>
      </c>
      <c r="AN329" s="32">
        <v>21</v>
      </c>
      <c r="AO329" s="32">
        <f>H329*0.190808080808081</f>
        <v>0</v>
      </c>
      <c r="AP329" s="32">
        <f>H329*(1-0.190808080808081)</f>
        <v>0</v>
      </c>
      <c r="AQ329" s="27" t="s">
        <v>7</v>
      </c>
      <c r="AV329" s="32">
        <f>AW329+AX329</f>
        <v>0</v>
      </c>
      <c r="AW329" s="32">
        <f>G329*AO329</f>
        <v>0</v>
      </c>
      <c r="AX329" s="32">
        <f>G329*AP329</f>
        <v>0</v>
      </c>
      <c r="AY329" s="33" t="s">
        <v>680</v>
      </c>
      <c r="AZ329" s="33" t="s">
        <v>691</v>
      </c>
      <c r="BA329" s="28" t="s">
        <v>692</v>
      </c>
      <c r="BC329" s="32">
        <f>AW329+AX329</f>
        <v>0</v>
      </c>
      <c r="BD329" s="32">
        <f>H329/(100-BE329)*100</f>
        <v>0</v>
      </c>
      <c r="BE329" s="32">
        <v>0</v>
      </c>
      <c r="BF329" s="32">
        <f>327</f>
        <v>327</v>
      </c>
      <c r="BH329" s="15">
        <f>G329*AO329</f>
        <v>0</v>
      </c>
      <c r="BI329" s="15">
        <f>G329*AP329</f>
        <v>0</v>
      </c>
      <c r="BJ329" s="15">
        <f>G329*H329</f>
        <v>0</v>
      </c>
    </row>
    <row r="330" spans="1:62" x14ac:dyDescent="0.2">
      <c r="C330" s="58" t="s">
        <v>572</v>
      </c>
      <c r="D330" s="59"/>
      <c r="E330" s="59"/>
      <c r="G330" s="16">
        <v>43.2</v>
      </c>
    </row>
    <row r="331" spans="1:62" x14ac:dyDescent="0.2">
      <c r="C331" s="58" t="s">
        <v>573</v>
      </c>
      <c r="D331" s="59"/>
      <c r="E331" s="59"/>
      <c r="G331" s="16">
        <v>41.58</v>
      </c>
    </row>
    <row r="332" spans="1:62" x14ac:dyDescent="0.2">
      <c r="A332" s="4" t="s">
        <v>114</v>
      </c>
      <c r="B332" s="4" t="s">
        <v>249</v>
      </c>
      <c r="C332" s="56" t="s">
        <v>574</v>
      </c>
      <c r="D332" s="57"/>
      <c r="E332" s="57"/>
      <c r="F332" s="4" t="s">
        <v>625</v>
      </c>
      <c r="G332" s="15">
        <v>9.7200000000000006</v>
      </c>
      <c r="H332" s="15">
        <v>0</v>
      </c>
      <c r="I332" s="15">
        <f>G332*AO332</f>
        <v>0</v>
      </c>
      <c r="J332" s="15">
        <f>G332*AP332</f>
        <v>0</v>
      </c>
      <c r="K332" s="15">
        <f>G332*H332</f>
        <v>0</v>
      </c>
      <c r="L332" s="27" t="s">
        <v>648</v>
      </c>
      <c r="Z332" s="32">
        <f>IF(AQ332="5",BJ332,0)</f>
        <v>0</v>
      </c>
      <c r="AB332" s="32">
        <f>IF(AQ332="1",BH332,0)</f>
        <v>0</v>
      </c>
      <c r="AC332" s="32">
        <f>IF(AQ332="1",BI332,0)</f>
        <v>0</v>
      </c>
      <c r="AD332" s="32">
        <f>IF(AQ332="7",BH332,0)</f>
        <v>0</v>
      </c>
      <c r="AE332" s="32">
        <f>IF(AQ332="7",BI332,0)</f>
        <v>0</v>
      </c>
      <c r="AF332" s="32">
        <f>IF(AQ332="2",BH332,0)</f>
        <v>0</v>
      </c>
      <c r="AG332" s="32">
        <f>IF(AQ332="2",BI332,0)</f>
        <v>0</v>
      </c>
      <c r="AH332" s="32">
        <f>IF(AQ332="0",BJ332,0)</f>
        <v>0</v>
      </c>
      <c r="AI332" s="28"/>
      <c r="AJ332" s="15">
        <f>IF(AN332=0,K332,0)</f>
        <v>0</v>
      </c>
      <c r="AK332" s="15">
        <f>IF(AN332=15,K332,0)</f>
        <v>0</v>
      </c>
      <c r="AL332" s="15">
        <f>IF(AN332=21,K332,0)</f>
        <v>0</v>
      </c>
      <c r="AN332" s="32">
        <v>21</v>
      </c>
      <c r="AO332" s="32">
        <f>H332*0.177731092436975</f>
        <v>0</v>
      </c>
      <c r="AP332" s="32">
        <f>H332*(1-0.177731092436975)</f>
        <v>0</v>
      </c>
      <c r="AQ332" s="27" t="s">
        <v>7</v>
      </c>
      <c r="AV332" s="32">
        <f>AW332+AX332</f>
        <v>0</v>
      </c>
      <c r="AW332" s="32">
        <f>G332*AO332</f>
        <v>0</v>
      </c>
      <c r="AX332" s="32">
        <f>G332*AP332</f>
        <v>0</v>
      </c>
      <c r="AY332" s="33" t="s">
        <v>680</v>
      </c>
      <c r="AZ332" s="33" t="s">
        <v>691</v>
      </c>
      <c r="BA332" s="28" t="s">
        <v>692</v>
      </c>
      <c r="BC332" s="32">
        <f>AW332+AX332</f>
        <v>0</v>
      </c>
      <c r="BD332" s="32">
        <f>H332/(100-BE332)*100</f>
        <v>0</v>
      </c>
      <c r="BE332" s="32">
        <v>0</v>
      </c>
      <c r="BF332" s="32">
        <f>330</f>
        <v>330</v>
      </c>
      <c r="BH332" s="15">
        <f>G332*AO332</f>
        <v>0</v>
      </c>
      <c r="BI332" s="15">
        <f>G332*AP332</f>
        <v>0</v>
      </c>
      <c r="BJ332" s="15">
        <f>G332*H332</f>
        <v>0</v>
      </c>
    </row>
    <row r="333" spans="1:62" x14ac:dyDescent="0.2">
      <c r="C333" s="58" t="s">
        <v>575</v>
      </c>
      <c r="D333" s="59"/>
      <c r="E333" s="59"/>
      <c r="G333" s="16">
        <v>6.48</v>
      </c>
    </row>
    <row r="334" spans="1:62" x14ac:dyDescent="0.2">
      <c r="C334" s="58" t="s">
        <v>576</v>
      </c>
      <c r="D334" s="59"/>
      <c r="E334" s="59"/>
      <c r="G334" s="16">
        <v>3.24</v>
      </c>
    </row>
    <row r="335" spans="1:62" x14ac:dyDescent="0.2">
      <c r="A335" s="4" t="s">
        <v>115</v>
      </c>
      <c r="B335" s="4" t="s">
        <v>250</v>
      </c>
      <c r="C335" s="56" t="s">
        <v>577</v>
      </c>
      <c r="D335" s="57"/>
      <c r="E335" s="57"/>
      <c r="F335" s="4" t="s">
        <v>629</v>
      </c>
      <c r="G335" s="15">
        <v>2</v>
      </c>
      <c r="H335" s="15">
        <v>0</v>
      </c>
      <c r="I335" s="15">
        <f>G335*AO335</f>
        <v>0</v>
      </c>
      <c r="J335" s="15">
        <f>G335*AP335</f>
        <v>0</v>
      </c>
      <c r="K335" s="15">
        <f>G335*H335</f>
        <v>0</v>
      </c>
      <c r="L335" s="27" t="s">
        <v>648</v>
      </c>
      <c r="Z335" s="32">
        <f>IF(AQ335="5",BJ335,0)</f>
        <v>0</v>
      </c>
      <c r="AB335" s="32">
        <f>IF(AQ335="1",BH335,0)</f>
        <v>0</v>
      </c>
      <c r="AC335" s="32">
        <f>IF(AQ335="1",BI335,0)</f>
        <v>0</v>
      </c>
      <c r="AD335" s="32">
        <f>IF(AQ335="7",BH335,0)</f>
        <v>0</v>
      </c>
      <c r="AE335" s="32">
        <f>IF(AQ335="7",BI335,0)</f>
        <v>0</v>
      </c>
      <c r="AF335" s="32">
        <f>IF(AQ335="2",BH335,0)</f>
        <v>0</v>
      </c>
      <c r="AG335" s="32">
        <f>IF(AQ335="2",BI335,0)</f>
        <v>0</v>
      </c>
      <c r="AH335" s="32">
        <f>IF(AQ335="0",BJ335,0)</f>
        <v>0</v>
      </c>
      <c r="AI335" s="28"/>
      <c r="AJ335" s="15">
        <f>IF(AN335=0,K335,0)</f>
        <v>0</v>
      </c>
      <c r="AK335" s="15">
        <f>IF(AN335=15,K335,0)</f>
        <v>0</v>
      </c>
      <c r="AL335" s="15">
        <f>IF(AN335=21,K335,0)</f>
        <v>0</v>
      </c>
      <c r="AN335" s="32">
        <v>21</v>
      </c>
      <c r="AO335" s="32">
        <f>H335*0</f>
        <v>0</v>
      </c>
      <c r="AP335" s="32">
        <f>H335*(1-0)</f>
        <v>0</v>
      </c>
      <c r="AQ335" s="27" t="s">
        <v>7</v>
      </c>
      <c r="AV335" s="32">
        <f>AW335+AX335</f>
        <v>0</v>
      </c>
      <c r="AW335" s="32">
        <f>G335*AO335</f>
        <v>0</v>
      </c>
      <c r="AX335" s="32">
        <f>G335*AP335</f>
        <v>0</v>
      </c>
      <c r="AY335" s="33" t="s">
        <v>680</v>
      </c>
      <c r="AZ335" s="33" t="s">
        <v>691</v>
      </c>
      <c r="BA335" s="28" t="s">
        <v>692</v>
      </c>
      <c r="BC335" s="32">
        <f>AW335+AX335</f>
        <v>0</v>
      </c>
      <c r="BD335" s="32">
        <f>H335/(100-BE335)*100</f>
        <v>0</v>
      </c>
      <c r="BE335" s="32">
        <v>0</v>
      </c>
      <c r="BF335" s="32">
        <f>333</f>
        <v>333</v>
      </c>
      <c r="BH335" s="15">
        <f>G335*AO335</f>
        <v>0</v>
      </c>
      <c r="BI335" s="15">
        <f>G335*AP335</f>
        <v>0</v>
      </c>
      <c r="BJ335" s="15">
        <f>G335*H335</f>
        <v>0</v>
      </c>
    </row>
    <row r="336" spans="1:62" x14ac:dyDescent="0.2">
      <c r="C336" s="58" t="s">
        <v>578</v>
      </c>
      <c r="D336" s="59"/>
      <c r="E336" s="59"/>
      <c r="G336" s="16">
        <v>2</v>
      </c>
    </row>
    <row r="337" spans="1:62" x14ac:dyDescent="0.2">
      <c r="A337" s="4" t="s">
        <v>116</v>
      </c>
      <c r="B337" s="4" t="s">
        <v>251</v>
      </c>
      <c r="C337" s="56" t="s">
        <v>579</v>
      </c>
      <c r="D337" s="57"/>
      <c r="E337" s="57"/>
      <c r="F337" s="4" t="s">
        <v>625</v>
      </c>
      <c r="G337" s="15">
        <v>3.2505000000000002</v>
      </c>
      <c r="H337" s="15">
        <v>0</v>
      </c>
      <c r="I337" s="15">
        <f>G337*AO337</f>
        <v>0</v>
      </c>
      <c r="J337" s="15">
        <f>G337*AP337</f>
        <v>0</v>
      </c>
      <c r="K337" s="15">
        <f>G337*H337</f>
        <v>0</v>
      </c>
      <c r="L337" s="27" t="s">
        <v>648</v>
      </c>
      <c r="Z337" s="32">
        <f>IF(AQ337="5",BJ337,0)</f>
        <v>0</v>
      </c>
      <c r="AB337" s="32">
        <f>IF(AQ337="1",BH337,0)</f>
        <v>0</v>
      </c>
      <c r="AC337" s="32">
        <f>IF(AQ337="1",BI337,0)</f>
        <v>0</v>
      </c>
      <c r="AD337" s="32">
        <f>IF(AQ337="7",BH337,0)</f>
        <v>0</v>
      </c>
      <c r="AE337" s="32">
        <f>IF(AQ337="7",BI337,0)</f>
        <v>0</v>
      </c>
      <c r="AF337" s="32">
        <f>IF(AQ337="2",BH337,0)</f>
        <v>0</v>
      </c>
      <c r="AG337" s="32">
        <f>IF(AQ337="2",BI337,0)</f>
        <v>0</v>
      </c>
      <c r="AH337" s="32">
        <f>IF(AQ337="0",BJ337,0)</f>
        <v>0</v>
      </c>
      <c r="AI337" s="28"/>
      <c r="AJ337" s="15">
        <f>IF(AN337=0,K337,0)</f>
        <v>0</v>
      </c>
      <c r="AK337" s="15">
        <f>IF(AN337=15,K337,0)</f>
        <v>0</v>
      </c>
      <c r="AL337" s="15">
        <f>IF(AN337=21,K337,0)</f>
        <v>0</v>
      </c>
      <c r="AN337" s="32">
        <v>21</v>
      </c>
      <c r="AO337" s="32">
        <f>H337*0.0809860909504517</f>
        <v>0</v>
      </c>
      <c r="AP337" s="32">
        <f>H337*(1-0.0809860909504517)</f>
        <v>0</v>
      </c>
      <c r="AQ337" s="27" t="s">
        <v>7</v>
      </c>
      <c r="AV337" s="32">
        <f>AW337+AX337</f>
        <v>0</v>
      </c>
      <c r="AW337" s="32">
        <f>G337*AO337</f>
        <v>0</v>
      </c>
      <c r="AX337" s="32">
        <f>G337*AP337</f>
        <v>0</v>
      </c>
      <c r="AY337" s="33" t="s">
        <v>680</v>
      </c>
      <c r="AZ337" s="33" t="s">
        <v>691</v>
      </c>
      <c r="BA337" s="28" t="s">
        <v>692</v>
      </c>
      <c r="BC337" s="32">
        <f>AW337+AX337</f>
        <v>0</v>
      </c>
      <c r="BD337" s="32">
        <f>H337/(100-BE337)*100</f>
        <v>0</v>
      </c>
      <c r="BE337" s="32">
        <v>0</v>
      </c>
      <c r="BF337" s="32">
        <f>335</f>
        <v>335</v>
      </c>
      <c r="BH337" s="15">
        <f>G337*AO337</f>
        <v>0</v>
      </c>
      <c r="BI337" s="15">
        <f>G337*AP337</f>
        <v>0</v>
      </c>
      <c r="BJ337" s="15">
        <f>G337*H337</f>
        <v>0</v>
      </c>
    </row>
    <row r="338" spans="1:62" x14ac:dyDescent="0.2">
      <c r="C338" s="58" t="s">
        <v>580</v>
      </c>
      <c r="D338" s="59"/>
      <c r="E338" s="59"/>
      <c r="G338" s="16">
        <v>3.2505000000000002</v>
      </c>
    </row>
    <row r="339" spans="1:62" x14ac:dyDescent="0.2">
      <c r="A339" s="4" t="s">
        <v>117</v>
      </c>
      <c r="B339" s="4" t="s">
        <v>252</v>
      </c>
      <c r="C339" s="56" t="s">
        <v>581</v>
      </c>
      <c r="D339" s="57"/>
      <c r="E339" s="57"/>
      <c r="F339" s="4" t="s">
        <v>629</v>
      </c>
      <c r="G339" s="15">
        <v>64</v>
      </c>
      <c r="H339" s="15">
        <v>0</v>
      </c>
      <c r="I339" s="15">
        <f>G339*AO339</f>
        <v>0</v>
      </c>
      <c r="J339" s="15">
        <f>G339*AP339</f>
        <v>0</v>
      </c>
      <c r="K339" s="15">
        <f>G339*H339</f>
        <v>0</v>
      </c>
      <c r="L339" s="27" t="s">
        <v>648</v>
      </c>
      <c r="Z339" s="32">
        <f>IF(AQ339="5",BJ339,0)</f>
        <v>0</v>
      </c>
      <c r="AB339" s="32">
        <f>IF(AQ339="1",BH339,0)</f>
        <v>0</v>
      </c>
      <c r="AC339" s="32">
        <f>IF(AQ339="1",BI339,0)</f>
        <v>0</v>
      </c>
      <c r="AD339" s="32">
        <f>IF(AQ339="7",BH339,0)</f>
        <v>0</v>
      </c>
      <c r="AE339" s="32">
        <f>IF(AQ339="7",BI339,0)</f>
        <v>0</v>
      </c>
      <c r="AF339" s="32">
        <f>IF(AQ339="2",BH339,0)</f>
        <v>0</v>
      </c>
      <c r="AG339" s="32">
        <f>IF(AQ339="2",BI339,0)</f>
        <v>0</v>
      </c>
      <c r="AH339" s="32">
        <f>IF(AQ339="0",BJ339,0)</f>
        <v>0</v>
      </c>
      <c r="AI339" s="28"/>
      <c r="AJ339" s="15">
        <f>IF(AN339=0,K339,0)</f>
        <v>0</v>
      </c>
      <c r="AK339" s="15">
        <f>IF(AN339=15,K339,0)</f>
        <v>0</v>
      </c>
      <c r="AL339" s="15">
        <f>IF(AN339=21,K339,0)</f>
        <v>0</v>
      </c>
      <c r="AN339" s="32">
        <v>21</v>
      </c>
      <c r="AO339" s="32">
        <f>H339*0</f>
        <v>0</v>
      </c>
      <c r="AP339" s="32">
        <f>H339*(1-0)</f>
        <v>0</v>
      </c>
      <c r="AQ339" s="27" t="s">
        <v>7</v>
      </c>
      <c r="AV339" s="32">
        <f>AW339+AX339</f>
        <v>0</v>
      </c>
      <c r="AW339" s="32">
        <f>G339*AO339</f>
        <v>0</v>
      </c>
      <c r="AX339" s="32">
        <f>G339*AP339</f>
        <v>0</v>
      </c>
      <c r="AY339" s="33" t="s">
        <v>680</v>
      </c>
      <c r="AZ339" s="33" t="s">
        <v>691</v>
      </c>
      <c r="BA339" s="28" t="s">
        <v>692</v>
      </c>
      <c r="BC339" s="32">
        <f>AW339+AX339</f>
        <v>0</v>
      </c>
      <c r="BD339" s="32">
        <f>H339/(100-BE339)*100</f>
        <v>0</v>
      </c>
      <c r="BE339" s="32">
        <v>0</v>
      </c>
      <c r="BF339" s="32">
        <f>337</f>
        <v>337</v>
      </c>
      <c r="BH339" s="15">
        <f>G339*AO339</f>
        <v>0</v>
      </c>
      <c r="BI339" s="15">
        <f>G339*AP339</f>
        <v>0</v>
      </c>
      <c r="BJ339" s="15">
        <f>G339*H339</f>
        <v>0</v>
      </c>
    </row>
    <row r="340" spans="1:62" x14ac:dyDescent="0.2">
      <c r="C340" s="58" t="s">
        <v>582</v>
      </c>
      <c r="D340" s="59"/>
      <c r="E340" s="59"/>
      <c r="G340" s="16">
        <v>8</v>
      </c>
    </row>
    <row r="341" spans="1:62" x14ac:dyDescent="0.2">
      <c r="C341" s="58" t="s">
        <v>583</v>
      </c>
      <c r="D341" s="59"/>
      <c r="E341" s="59"/>
      <c r="G341" s="16">
        <v>56</v>
      </c>
    </row>
    <row r="342" spans="1:62" x14ac:dyDescent="0.2">
      <c r="A342" s="4" t="s">
        <v>118</v>
      </c>
      <c r="B342" s="4" t="s">
        <v>253</v>
      </c>
      <c r="C342" s="56" t="s">
        <v>584</v>
      </c>
      <c r="D342" s="57"/>
      <c r="E342" s="57"/>
      <c r="F342" s="4" t="s">
        <v>625</v>
      </c>
      <c r="G342" s="15">
        <v>93.215999999999994</v>
      </c>
      <c r="H342" s="15">
        <v>0</v>
      </c>
      <c r="I342" s="15">
        <f>G342*AO342</f>
        <v>0</v>
      </c>
      <c r="J342" s="15">
        <f>G342*AP342</f>
        <v>0</v>
      </c>
      <c r="K342" s="15">
        <f>G342*H342</f>
        <v>0</v>
      </c>
      <c r="L342" s="27" t="s">
        <v>648</v>
      </c>
      <c r="Z342" s="32">
        <f>IF(AQ342="5",BJ342,0)</f>
        <v>0</v>
      </c>
      <c r="AB342" s="32">
        <f>IF(AQ342="1",BH342,0)</f>
        <v>0</v>
      </c>
      <c r="AC342" s="32">
        <f>IF(AQ342="1",BI342,0)</f>
        <v>0</v>
      </c>
      <c r="AD342" s="32">
        <f>IF(AQ342="7",BH342,0)</f>
        <v>0</v>
      </c>
      <c r="AE342" s="32">
        <f>IF(AQ342="7",BI342,0)</f>
        <v>0</v>
      </c>
      <c r="AF342" s="32">
        <f>IF(AQ342="2",BH342,0)</f>
        <v>0</v>
      </c>
      <c r="AG342" s="32">
        <f>IF(AQ342="2",BI342,0)</f>
        <v>0</v>
      </c>
      <c r="AH342" s="32">
        <f>IF(AQ342="0",BJ342,0)</f>
        <v>0</v>
      </c>
      <c r="AI342" s="28"/>
      <c r="AJ342" s="15">
        <f>IF(AN342=0,K342,0)</f>
        <v>0</v>
      </c>
      <c r="AK342" s="15">
        <f>IF(AN342=15,K342,0)</f>
        <v>0</v>
      </c>
      <c r="AL342" s="15">
        <f>IF(AN342=21,K342,0)</f>
        <v>0</v>
      </c>
      <c r="AN342" s="32">
        <v>21</v>
      </c>
      <c r="AO342" s="32">
        <f>H342*0.124513250694694</f>
        <v>0</v>
      </c>
      <c r="AP342" s="32">
        <f>H342*(1-0.124513250694694)</f>
        <v>0</v>
      </c>
      <c r="AQ342" s="27" t="s">
        <v>7</v>
      </c>
      <c r="AV342" s="32">
        <f>AW342+AX342</f>
        <v>0</v>
      </c>
      <c r="AW342" s="32">
        <f>G342*AO342</f>
        <v>0</v>
      </c>
      <c r="AX342" s="32">
        <f>G342*AP342</f>
        <v>0</v>
      </c>
      <c r="AY342" s="33" t="s">
        <v>680</v>
      </c>
      <c r="AZ342" s="33" t="s">
        <v>691</v>
      </c>
      <c r="BA342" s="28" t="s">
        <v>692</v>
      </c>
      <c r="BC342" s="32">
        <f>AW342+AX342</f>
        <v>0</v>
      </c>
      <c r="BD342" s="32">
        <f>H342/(100-BE342)*100</f>
        <v>0</v>
      </c>
      <c r="BE342" s="32">
        <v>0</v>
      </c>
      <c r="BF342" s="32">
        <f>340</f>
        <v>340</v>
      </c>
      <c r="BH342" s="15">
        <f>G342*AO342</f>
        <v>0</v>
      </c>
      <c r="BI342" s="15">
        <f>G342*AP342</f>
        <v>0</v>
      </c>
      <c r="BJ342" s="15">
        <f>G342*H342</f>
        <v>0</v>
      </c>
    </row>
    <row r="343" spans="1:62" x14ac:dyDescent="0.2">
      <c r="C343" s="58" t="s">
        <v>585</v>
      </c>
      <c r="D343" s="59"/>
      <c r="E343" s="59"/>
      <c r="G343" s="16">
        <v>11.568</v>
      </c>
    </row>
    <row r="344" spans="1:62" x14ac:dyDescent="0.2">
      <c r="C344" s="58" t="s">
        <v>586</v>
      </c>
      <c r="D344" s="59"/>
      <c r="E344" s="59"/>
      <c r="G344" s="16">
        <v>81.647999999999996</v>
      </c>
    </row>
    <row r="345" spans="1:62" x14ac:dyDescent="0.2">
      <c r="A345" s="4" t="s">
        <v>119</v>
      </c>
      <c r="B345" s="4" t="s">
        <v>254</v>
      </c>
      <c r="C345" s="56" t="s">
        <v>587</v>
      </c>
      <c r="D345" s="57"/>
      <c r="E345" s="57"/>
      <c r="F345" s="4" t="s">
        <v>629</v>
      </c>
      <c r="G345" s="15">
        <v>4</v>
      </c>
      <c r="H345" s="15">
        <v>0</v>
      </c>
      <c r="I345" s="15">
        <f>G345*AO345</f>
        <v>0</v>
      </c>
      <c r="J345" s="15">
        <f>G345*AP345</f>
        <v>0</v>
      </c>
      <c r="K345" s="15">
        <f>G345*H345</f>
        <v>0</v>
      </c>
      <c r="L345" s="27" t="s">
        <v>648</v>
      </c>
      <c r="Z345" s="32">
        <f>IF(AQ345="5",BJ345,0)</f>
        <v>0</v>
      </c>
      <c r="AB345" s="32">
        <f>IF(AQ345="1",BH345,0)</f>
        <v>0</v>
      </c>
      <c r="AC345" s="32">
        <f>IF(AQ345="1",BI345,0)</f>
        <v>0</v>
      </c>
      <c r="AD345" s="32">
        <f>IF(AQ345="7",BH345,0)</f>
        <v>0</v>
      </c>
      <c r="AE345" s="32">
        <f>IF(AQ345="7",BI345,0)</f>
        <v>0</v>
      </c>
      <c r="AF345" s="32">
        <f>IF(AQ345="2",BH345,0)</f>
        <v>0</v>
      </c>
      <c r="AG345" s="32">
        <f>IF(AQ345="2",BI345,0)</f>
        <v>0</v>
      </c>
      <c r="AH345" s="32">
        <f>IF(AQ345="0",BJ345,0)</f>
        <v>0</v>
      </c>
      <c r="AI345" s="28"/>
      <c r="AJ345" s="15">
        <f>IF(AN345=0,K345,0)</f>
        <v>0</v>
      </c>
      <c r="AK345" s="15">
        <f>IF(AN345=15,K345,0)</f>
        <v>0</v>
      </c>
      <c r="AL345" s="15">
        <f>IF(AN345=21,K345,0)</f>
        <v>0</v>
      </c>
      <c r="AN345" s="32">
        <v>21</v>
      </c>
      <c r="AO345" s="32">
        <f>H345*0</f>
        <v>0</v>
      </c>
      <c r="AP345" s="32">
        <f>H345*(1-0)</f>
        <v>0</v>
      </c>
      <c r="AQ345" s="27" t="s">
        <v>7</v>
      </c>
      <c r="AV345" s="32">
        <f>AW345+AX345</f>
        <v>0</v>
      </c>
      <c r="AW345" s="32">
        <f>G345*AO345</f>
        <v>0</v>
      </c>
      <c r="AX345" s="32">
        <f>G345*AP345</f>
        <v>0</v>
      </c>
      <c r="AY345" s="33" t="s">
        <v>680</v>
      </c>
      <c r="AZ345" s="33" t="s">
        <v>691</v>
      </c>
      <c r="BA345" s="28" t="s">
        <v>692</v>
      </c>
      <c r="BC345" s="32">
        <f>AW345+AX345</f>
        <v>0</v>
      </c>
      <c r="BD345" s="32">
        <f>H345/(100-BE345)*100</f>
        <v>0</v>
      </c>
      <c r="BE345" s="32">
        <v>0</v>
      </c>
      <c r="BF345" s="32">
        <f>343</f>
        <v>343</v>
      </c>
      <c r="BH345" s="15">
        <f>G345*AO345</f>
        <v>0</v>
      </c>
      <c r="BI345" s="15">
        <f>G345*AP345</f>
        <v>0</v>
      </c>
      <c r="BJ345" s="15">
        <f>G345*H345</f>
        <v>0</v>
      </c>
    </row>
    <row r="346" spans="1:62" x14ac:dyDescent="0.2">
      <c r="C346" s="58" t="s">
        <v>588</v>
      </c>
      <c r="D346" s="59"/>
      <c r="E346" s="59"/>
      <c r="G346" s="16">
        <v>4</v>
      </c>
    </row>
    <row r="347" spans="1:62" x14ac:dyDescent="0.2">
      <c r="A347" s="4" t="s">
        <v>120</v>
      </c>
      <c r="B347" s="4" t="s">
        <v>255</v>
      </c>
      <c r="C347" s="56" t="s">
        <v>589</v>
      </c>
      <c r="D347" s="57"/>
      <c r="E347" s="57"/>
      <c r="F347" s="4" t="s">
        <v>625</v>
      </c>
      <c r="G347" s="15">
        <v>11.52</v>
      </c>
      <c r="H347" s="15">
        <v>0</v>
      </c>
      <c r="I347" s="15">
        <f>G347*AO347</f>
        <v>0</v>
      </c>
      <c r="J347" s="15">
        <f>G347*AP347</f>
        <v>0</v>
      </c>
      <c r="K347" s="15">
        <f>G347*H347</f>
        <v>0</v>
      </c>
      <c r="L347" s="27" t="s">
        <v>648</v>
      </c>
      <c r="Z347" s="32">
        <f>IF(AQ347="5",BJ347,0)</f>
        <v>0</v>
      </c>
      <c r="AB347" s="32">
        <f>IF(AQ347="1",BH347,0)</f>
        <v>0</v>
      </c>
      <c r="AC347" s="32">
        <f>IF(AQ347="1",BI347,0)</f>
        <v>0</v>
      </c>
      <c r="AD347" s="32">
        <f>IF(AQ347="7",BH347,0)</f>
        <v>0</v>
      </c>
      <c r="AE347" s="32">
        <f>IF(AQ347="7",BI347,0)</f>
        <v>0</v>
      </c>
      <c r="AF347" s="32">
        <f>IF(AQ347="2",BH347,0)</f>
        <v>0</v>
      </c>
      <c r="AG347" s="32">
        <f>IF(AQ347="2",BI347,0)</f>
        <v>0</v>
      </c>
      <c r="AH347" s="32">
        <f>IF(AQ347="0",BJ347,0)</f>
        <v>0</v>
      </c>
      <c r="AI347" s="28"/>
      <c r="AJ347" s="15">
        <f>IF(AN347=0,K347,0)</f>
        <v>0</v>
      </c>
      <c r="AK347" s="15">
        <f>IF(AN347=15,K347,0)</f>
        <v>0</v>
      </c>
      <c r="AL347" s="15">
        <f>IF(AN347=21,K347,0)</f>
        <v>0</v>
      </c>
      <c r="AN347" s="32">
        <v>21</v>
      </c>
      <c r="AO347" s="32">
        <f>H347*0.0923741007194245</f>
        <v>0</v>
      </c>
      <c r="AP347" s="32">
        <f>H347*(1-0.0923741007194245)</f>
        <v>0</v>
      </c>
      <c r="AQ347" s="27" t="s">
        <v>7</v>
      </c>
      <c r="AV347" s="32">
        <f>AW347+AX347</f>
        <v>0</v>
      </c>
      <c r="AW347" s="32">
        <f>G347*AO347</f>
        <v>0</v>
      </c>
      <c r="AX347" s="32">
        <f>G347*AP347</f>
        <v>0</v>
      </c>
      <c r="AY347" s="33" t="s">
        <v>680</v>
      </c>
      <c r="AZ347" s="33" t="s">
        <v>691</v>
      </c>
      <c r="BA347" s="28" t="s">
        <v>692</v>
      </c>
      <c r="BC347" s="32">
        <f>AW347+AX347</f>
        <v>0</v>
      </c>
      <c r="BD347" s="32">
        <f>H347/(100-BE347)*100</f>
        <v>0</v>
      </c>
      <c r="BE347" s="32">
        <v>0</v>
      </c>
      <c r="BF347" s="32">
        <f>345</f>
        <v>345</v>
      </c>
      <c r="BH347" s="15">
        <f>G347*AO347</f>
        <v>0</v>
      </c>
      <c r="BI347" s="15">
        <f>G347*AP347</f>
        <v>0</v>
      </c>
      <c r="BJ347" s="15">
        <f>G347*H347</f>
        <v>0</v>
      </c>
    </row>
    <row r="348" spans="1:62" x14ac:dyDescent="0.2">
      <c r="C348" s="58" t="s">
        <v>590</v>
      </c>
      <c r="D348" s="59"/>
      <c r="E348" s="59"/>
      <c r="G348" s="16">
        <v>11.52</v>
      </c>
    </row>
    <row r="349" spans="1:62" x14ac:dyDescent="0.2">
      <c r="A349" s="4" t="s">
        <v>121</v>
      </c>
      <c r="B349" s="4" t="s">
        <v>256</v>
      </c>
      <c r="C349" s="56" t="s">
        <v>591</v>
      </c>
      <c r="D349" s="57"/>
      <c r="E349" s="57"/>
      <c r="F349" s="4" t="s">
        <v>628</v>
      </c>
      <c r="G349" s="15">
        <v>102.52</v>
      </c>
      <c r="H349" s="15">
        <v>0</v>
      </c>
      <c r="I349" s="15">
        <f>G349*AO349</f>
        <v>0</v>
      </c>
      <c r="J349" s="15">
        <f>G349*AP349</f>
        <v>0</v>
      </c>
      <c r="K349" s="15">
        <f>G349*H349</f>
        <v>0</v>
      </c>
      <c r="L349" s="27" t="s">
        <v>648</v>
      </c>
      <c r="Z349" s="32">
        <f>IF(AQ349="5",BJ349,0)</f>
        <v>0</v>
      </c>
      <c r="AB349" s="32">
        <f>IF(AQ349="1",BH349,0)</f>
        <v>0</v>
      </c>
      <c r="AC349" s="32">
        <f>IF(AQ349="1",BI349,0)</f>
        <v>0</v>
      </c>
      <c r="AD349" s="32">
        <f>IF(AQ349="7",BH349,0)</f>
        <v>0</v>
      </c>
      <c r="AE349" s="32">
        <f>IF(AQ349="7",BI349,0)</f>
        <v>0</v>
      </c>
      <c r="AF349" s="32">
        <f>IF(AQ349="2",BH349,0)</f>
        <v>0</v>
      </c>
      <c r="AG349" s="32">
        <f>IF(AQ349="2",BI349,0)</f>
        <v>0</v>
      </c>
      <c r="AH349" s="32">
        <f>IF(AQ349="0",BJ349,0)</f>
        <v>0</v>
      </c>
      <c r="AI349" s="28"/>
      <c r="AJ349" s="15">
        <f>IF(AN349=0,K349,0)</f>
        <v>0</v>
      </c>
      <c r="AK349" s="15">
        <f>IF(AN349=15,K349,0)</f>
        <v>0</v>
      </c>
      <c r="AL349" s="15">
        <f>IF(AN349=21,K349,0)</f>
        <v>0</v>
      </c>
      <c r="AN349" s="32">
        <v>21</v>
      </c>
      <c r="AO349" s="32">
        <f>H349*0</f>
        <v>0</v>
      </c>
      <c r="AP349" s="32">
        <f>H349*(1-0)</f>
        <v>0</v>
      </c>
      <c r="AQ349" s="27" t="s">
        <v>7</v>
      </c>
      <c r="AV349" s="32">
        <f>AW349+AX349</f>
        <v>0</v>
      </c>
      <c r="AW349" s="32">
        <f>G349*AO349</f>
        <v>0</v>
      </c>
      <c r="AX349" s="32">
        <f>G349*AP349</f>
        <v>0</v>
      </c>
      <c r="AY349" s="33" t="s">
        <v>680</v>
      </c>
      <c r="AZ349" s="33" t="s">
        <v>691</v>
      </c>
      <c r="BA349" s="28" t="s">
        <v>692</v>
      </c>
      <c r="BC349" s="32">
        <f>AW349+AX349</f>
        <v>0</v>
      </c>
      <c r="BD349" s="32">
        <f>H349/(100-BE349)*100</f>
        <v>0</v>
      </c>
      <c r="BE349" s="32">
        <v>0</v>
      </c>
      <c r="BF349" s="32">
        <f>347</f>
        <v>347</v>
      </c>
      <c r="BH349" s="15">
        <f>G349*AO349</f>
        <v>0</v>
      </c>
      <c r="BI349" s="15">
        <f>G349*AP349</f>
        <v>0</v>
      </c>
      <c r="BJ349" s="15">
        <f>G349*H349</f>
        <v>0</v>
      </c>
    </row>
    <row r="350" spans="1:62" x14ac:dyDescent="0.2">
      <c r="C350" s="58" t="s">
        <v>592</v>
      </c>
      <c r="D350" s="59"/>
      <c r="E350" s="59"/>
      <c r="G350" s="16">
        <v>102.52</v>
      </c>
    </row>
    <row r="351" spans="1:62" x14ac:dyDescent="0.2">
      <c r="A351" s="5"/>
      <c r="B351" s="13" t="s">
        <v>103</v>
      </c>
      <c r="C351" s="66" t="s">
        <v>593</v>
      </c>
      <c r="D351" s="67"/>
      <c r="E351" s="67"/>
      <c r="F351" s="5" t="s">
        <v>6</v>
      </c>
      <c r="G351" s="5" t="s">
        <v>6</v>
      </c>
      <c r="H351" s="5" t="s">
        <v>6</v>
      </c>
      <c r="I351" s="35">
        <f>SUM(I352:I352)</f>
        <v>0</v>
      </c>
      <c r="J351" s="35">
        <f>SUM(J352:J352)</f>
        <v>0</v>
      </c>
      <c r="K351" s="35">
        <f>SUM(K352:K352)</f>
        <v>0</v>
      </c>
      <c r="L351" s="28"/>
      <c r="AI351" s="28"/>
      <c r="AS351" s="35">
        <f>SUM(AJ352:AJ352)</f>
        <v>0</v>
      </c>
      <c r="AT351" s="35">
        <f>SUM(AK352:AK352)</f>
        <v>0</v>
      </c>
      <c r="AU351" s="35">
        <f>SUM(AL352:AL352)</f>
        <v>0</v>
      </c>
    </row>
    <row r="352" spans="1:62" x14ac:dyDescent="0.2">
      <c r="A352" s="4" t="s">
        <v>122</v>
      </c>
      <c r="B352" s="4" t="s">
        <v>257</v>
      </c>
      <c r="C352" s="56" t="s">
        <v>594</v>
      </c>
      <c r="D352" s="57"/>
      <c r="E352" s="57"/>
      <c r="F352" s="4" t="s">
        <v>625</v>
      </c>
      <c r="G352" s="15">
        <v>182.649</v>
      </c>
      <c r="H352" s="15">
        <v>0</v>
      </c>
      <c r="I352" s="15">
        <f>G352*AO352</f>
        <v>0</v>
      </c>
      <c r="J352" s="15">
        <f>G352*AP352</f>
        <v>0</v>
      </c>
      <c r="K352" s="15">
        <f>G352*H352</f>
        <v>0</v>
      </c>
      <c r="L352" s="27" t="s">
        <v>648</v>
      </c>
      <c r="Z352" s="32">
        <f>IF(AQ352="5",BJ352,0)</f>
        <v>0</v>
      </c>
      <c r="AB352" s="32">
        <f>IF(AQ352="1",BH352,0)</f>
        <v>0</v>
      </c>
      <c r="AC352" s="32">
        <f>IF(AQ352="1",BI352,0)</f>
        <v>0</v>
      </c>
      <c r="AD352" s="32">
        <f>IF(AQ352="7",BH352,0)</f>
        <v>0</v>
      </c>
      <c r="AE352" s="32">
        <f>IF(AQ352="7",BI352,0)</f>
        <v>0</v>
      </c>
      <c r="AF352" s="32">
        <f>IF(AQ352="2",BH352,0)</f>
        <v>0</v>
      </c>
      <c r="AG352" s="32">
        <f>IF(AQ352="2",BI352,0)</f>
        <v>0</v>
      </c>
      <c r="AH352" s="32">
        <f>IF(AQ352="0",BJ352,0)</f>
        <v>0</v>
      </c>
      <c r="AI352" s="28"/>
      <c r="AJ352" s="15">
        <f>IF(AN352=0,K352,0)</f>
        <v>0</v>
      </c>
      <c r="AK352" s="15">
        <f>IF(AN352=15,K352,0)</f>
        <v>0</v>
      </c>
      <c r="AL352" s="15">
        <f>IF(AN352=21,K352,0)</f>
        <v>0</v>
      </c>
      <c r="AN352" s="32">
        <v>21</v>
      </c>
      <c r="AO352" s="32">
        <f>H352*0</f>
        <v>0</v>
      </c>
      <c r="AP352" s="32">
        <f>H352*(1-0)</f>
        <v>0</v>
      </c>
      <c r="AQ352" s="27" t="s">
        <v>7</v>
      </c>
      <c r="AV352" s="32">
        <f>AW352+AX352</f>
        <v>0</v>
      </c>
      <c r="AW352" s="32">
        <f>G352*AO352</f>
        <v>0</v>
      </c>
      <c r="AX352" s="32">
        <f>G352*AP352</f>
        <v>0</v>
      </c>
      <c r="AY352" s="33" t="s">
        <v>681</v>
      </c>
      <c r="AZ352" s="33" t="s">
        <v>691</v>
      </c>
      <c r="BA352" s="28" t="s">
        <v>692</v>
      </c>
      <c r="BC352" s="32">
        <f>AW352+AX352</f>
        <v>0</v>
      </c>
      <c r="BD352" s="32">
        <f>H352/(100-BE352)*100</f>
        <v>0</v>
      </c>
      <c r="BE352" s="32">
        <v>0</v>
      </c>
      <c r="BF352" s="32">
        <f>350</f>
        <v>350</v>
      </c>
      <c r="BH352" s="15">
        <f>G352*AO352</f>
        <v>0</v>
      </c>
      <c r="BI352" s="15">
        <f>G352*AP352</f>
        <v>0</v>
      </c>
      <c r="BJ352" s="15">
        <f>G352*H352</f>
        <v>0</v>
      </c>
    </row>
    <row r="353" spans="1:62" x14ac:dyDescent="0.2">
      <c r="C353" s="58" t="s">
        <v>595</v>
      </c>
      <c r="D353" s="59"/>
      <c r="E353" s="59"/>
      <c r="G353" s="16">
        <v>128.749</v>
      </c>
    </row>
    <row r="354" spans="1:62" x14ac:dyDescent="0.2">
      <c r="C354" s="58" t="s">
        <v>596</v>
      </c>
      <c r="D354" s="59"/>
      <c r="E354" s="59"/>
      <c r="G354" s="16">
        <v>15</v>
      </c>
    </row>
    <row r="355" spans="1:62" x14ac:dyDescent="0.2">
      <c r="C355" s="58" t="s">
        <v>597</v>
      </c>
      <c r="D355" s="59"/>
      <c r="E355" s="59"/>
      <c r="G355" s="16">
        <v>18</v>
      </c>
    </row>
    <row r="356" spans="1:62" x14ac:dyDescent="0.2">
      <c r="C356" s="58" t="s">
        <v>598</v>
      </c>
      <c r="D356" s="59"/>
      <c r="E356" s="59"/>
      <c r="G356" s="16">
        <v>20.9</v>
      </c>
    </row>
    <row r="357" spans="1:62" x14ac:dyDescent="0.2">
      <c r="C357" s="58" t="s">
        <v>599</v>
      </c>
      <c r="D357" s="59"/>
      <c r="E357" s="59"/>
      <c r="G357" s="16">
        <v>0</v>
      </c>
    </row>
    <row r="358" spans="1:62" x14ac:dyDescent="0.2">
      <c r="A358" s="5"/>
      <c r="B358" s="13" t="s">
        <v>258</v>
      </c>
      <c r="C358" s="66" t="s">
        <v>600</v>
      </c>
      <c r="D358" s="67"/>
      <c r="E358" s="67"/>
      <c r="F358" s="5" t="s">
        <v>6</v>
      </c>
      <c r="G358" s="5" t="s">
        <v>6</v>
      </c>
      <c r="H358" s="5" t="s">
        <v>6</v>
      </c>
      <c r="I358" s="35">
        <f>SUM(I359:I359)</f>
        <v>0</v>
      </c>
      <c r="J358" s="35">
        <f>SUM(J359:J359)</f>
        <v>0</v>
      </c>
      <c r="K358" s="35">
        <f>SUM(K359:K359)</f>
        <v>0</v>
      </c>
      <c r="L358" s="28"/>
      <c r="AI358" s="28"/>
      <c r="AS358" s="35">
        <f>SUM(AJ359:AJ359)</f>
        <v>0</v>
      </c>
      <c r="AT358" s="35">
        <f>SUM(AK359:AK359)</f>
        <v>0</v>
      </c>
      <c r="AU358" s="35">
        <f>SUM(AL359:AL359)</f>
        <v>0</v>
      </c>
    </row>
    <row r="359" spans="1:62" x14ac:dyDescent="0.2">
      <c r="A359" s="4" t="s">
        <v>123</v>
      </c>
      <c r="B359" s="4" t="s">
        <v>259</v>
      </c>
      <c r="C359" s="56" t="s">
        <v>601</v>
      </c>
      <c r="D359" s="57"/>
      <c r="E359" s="57"/>
      <c r="F359" s="4" t="s">
        <v>630</v>
      </c>
      <c r="G359" s="15">
        <v>71.291520000000006</v>
      </c>
      <c r="H359" s="15">
        <v>0</v>
      </c>
      <c r="I359" s="15">
        <f>G359*AO359</f>
        <v>0</v>
      </c>
      <c r="J359" s="15">
        <f>G359*AP359</f>
        <v>0</v>
      </c>
      <c r="K359" s="15">
        <f>G359*H359</f>
        <v>0</v>
      </c>
      <c r="L359" s="27" t="s">
        <v>648</v>
      </c>
      <c r="Z359" s="32">
        <f>IF(AQ359="5",BJ359,0)</f>
        <v>0</v>
      </c>
      <c r="AB359" s="32">
        <f>IF(AQ359="1",BH359,0)</f>
        <v>0</v>
      </c>
      <c r="AC359" s="32">
        <f>IF(AQ359="1",BI359,0)</f>
        <v>0</v>
      </c>
      <c r="AD359" s="32">
        <f>IF(AQ359="7",BH359,0)</f>
        <v>0</v>
      </c>
      <c r="AE359" s="32">
        <f>IF(AQ359="7",BI359,0)</f>
        <v>0</v>
      </c>
      <c r="AF359" s="32">
        <f>IF(AQ359="2",BH359,0)</f>
        <v>0</v>
      </c>
      <c r="AG359" s="32">
        <f>IF(AQ359="2",BI359,0)</f>
        <v>0</v>
      </c>
      <c r="AH359" s="32">
        <f>IF(AQ359="0",BJ359,0)</f>
        <v>0</v>
      </c>
      <c r="AI359" s="28"/>
      <c r="AJ359" s="15">
        <f>IF(AN359=0,K359,0)</f>
        <v>0</v>
      </c>
      <c r="AK359" s="15">
        <f>IF(AN359=15,K359,0)</f>
        <v>0</v>
      </c>
      <c r="AL359" s="15">
        <f>IF(AN359=21,K359,0)</f>
        <v>0</v>
      </c>
      <c r="AN359" s="32">
        <v>21</v>
      </c>
      <c r="AO359" s="32">
        <f>H359*0</f>
        <v>0</v>
      </c>
      <c r="AP359" s="32">
        <f>H359*(1-0)</f>
        <v>0</v>
      </c>
      <c r="AQ359" s="27" t="s">
        <v>11</v>
      </c>
      <c r="AV359" s="32">
        <f>AW359+AX359</f>
        <v>0</v>
      </c>
      <c r="AW359" s="32">
        <f>G359*AO359</f>
        <v>0</v>
      </c>
      <c r="AX359" s="32">
        <f>G359*AP359</f>
        <v>0</v>
      </c>
      <c r="AY359" s="33" t="s">
        <v>682</v>
      </c>
      <c r="AZ359" s="33" t="s">
        <v>691</v>
      </c>
      <c r="BA359" s="28" t="s">
        <v>692</v>
      </c>
      <c r="BC359" s="32">
        <f>AW359+AX359</f>
        <v>0</v>
      </c>
      <c r="BD359" s="32">
        <f>H359/(100-BE359)*100</f>
        <v>0</v>
      </c>
      <c r="BE359" s="32">
        <v>0</v>
      </c>
      <c r="BF359" s="32">
        <f>357</f>
        <v>357</v>
      </c>
      <c r="BH359" s="15">
        <f>G359*AO359</f>
        <v>0</v>
      </c>
      <c r="BI359" s="15">
        <f>G359*AP359</f>
        <v>0</v>
      </c>
      <c r="BJ359" s="15">
        <f>G359*H359</f>
        <v>0</v>
      </c>
    </row>
    <row r="360" spans="1:62" x14ac:dyDescent="0.2">
      <c r="C360" s="58" t="s">
        <v>602</v>
      </c>
      <c r="D360" s="59"/>
      <c r="E360" s="59"/>
      <c r="G360" s="16">
        <v>71.291520000000006</v>
      </c>
    </row>
    <row r="361" spans="1:62" x14ac:dyDescent="0.2">
      <c r="A361" s="5"/>
      <c r="B361" s="13" t="s">
        <v>260</v>
      </c>
      <c r="C361" s="66" t="s">
        <v>603</v>
      </c>
      <c r="D361" s="67"/>
      <c r="E361" s="67"/>
      <c r="F361" s="5" t="s">
        <v>6</v>
      </c>
      <c r="G361" s="5" t="s">
        <v>6</v>
      </c>
      <c r="H361" s="5" t="s">
        <v>6</v>
      </c>
      <c r="I361" s="35">
        <f>SUM(I362:I362)</f>
        <v>0</v>
      </c>
      <c r="J361" s="35">
        <f>SUM(J362:J362)</f>
        <v>0</v>
      </c>
      <c r="K361" s="35">
        <f>SUM(K362:K362)</f>
        <v>0</v>
      </c>
      <c r="L361" s="28"/>
      <c r="AI361" s="28"/>
      <c r="AS361" s="35">
        <f>SUM(AJ362:AJ362)</f>
        <v>0</v>
      </c>
      <c r="AT361" s="35">
        <f>SUM(AK362:AK362)</f>
        <v>0</v>
      </c>
      <c r="AU361" s="35">
        <f>SUM(AL362:AL362)</f>
        <v>0</v>
      </c>
    </row>
    <row r="362" spans="1:62" x14ac:dyDescent="0.2">
      <c r="A362" s="4" t="s">
        <v>124</v>
      </c>
      <c r="B362" s="4" t="s">
        <v>261</v>
      </c>
      <c r="C362" s="56" t="s">
        <v>604</v>
      </c>
      <c r="D362" s="57"/>
      <c r="E362" s="57"/>
      <c r="F362" s="4" t="s">
        <v>625</v>
      </c>
      <c r="G362" s="15">
        <v>45</v>
      </c>
      <c r="H362" s="15">
        <v>0</v>
      </c>
      <c r="I362" s="15">
        <f>G362*AO362</f>
        <v>0</v>
      </c>
      <c r="J362" s="15">
        <f>G362*AP362</f>
        <v>0</v>
      </c>
      <c r="K362" s="15">
        <f>G362*H362</f>
        <v>0</v>
      </c>
      <c r="L362" s="27" t="s">
        <v>648</v>
      </c>
      <c r="Z362" s="32">
        <f>IF(AQ362="5",BJ362,0)</f>
        <v>0</v>
      </c>
      <c r="AB362" s="32">
        <f>IF(AQ362="1",BH362,0)</f>
        <v>0</v>
      </c>
      <c r="AC362" s="32">
        <f>IF(AQ362="1",BI362,0)</f>
        <v>0</v>
      </c>
      <c r="AD362" s="32">
        <f>IF(AQ362="7",BH362,0)</f>
        <v>0</v>
      </c>
      <c r="AE362" s="32">
        <f>IF(AQ362="7",BI362,0)</f>
        <v>0</v>
      </c>
      <c r="AF362" s="32">
        <f>IF(AQ362="2",BH362,0)</f>
        <v>0</v>
      </c>
      <c r="AG362" s="32">
        <f>IF(AQ362="2",BI362,0)</f>
        <v>0</v>
      </c>
      <c r="AH362" s="32">
        <f>IF(AQ362="0",BJ362,0)</f>
        <v>0</v>
      </c>
      <c r="AI362" s="28"/>
      <c r="AJ362" s="15">
        <f>IF(AN362=0,K362,0)</f>
        <v>0</v>
      </c>
      <c r="AK362" s="15">
        <f>IF(AN362=15,K362,0)</f>
        <v>0</v>
      </c>
      <c r="AL362" s="15">
        <f>IF(AN362=21,K362,0)</f>
        <v>0</v>
      </c>
      <c r="AN362" s="32">
        <v>21</v>
      </c>
      <c r="AO362" s="32">
        <f>H362*0.111111111111111</f>
        <v>0</v>
      </c>
      <c r="AP362" s="32">
        <f>H362*(1-0.111111111111111)</f>
        <v>0</v>
      </c>
      <c r="AQ362" s="27" t="s">
        <v>8</v>
      </c>
      <c r="AV362" s="32">
        <f>AW362+AX362</f>
        <v>0</v>
      </c>
      <c r="AW362" s="32">
        <f>G362*AO362</f>
        <v>0</v>
      </c>
      <c r="AX362" s="32">
        <f>G362*AP362</f>
        <v>0</v>
      </c>
      <c r="AY362" s="33" t="s">
        <v>683</v>
      </c>
      <c r="AZ362" s="33" t="s">
        <v>691</v>
      </c>
      <c r="BA362" s="28" t="s">
        <v>692</v>
      </c>
      <c r="BC362" s="32">
        <f>AW362+AX362</f>
        <v>0</v>
      </c>
      <c r="BD362" s="32">
        <f>H362/(100-BE362)*100</f>
        <v>0</v>
      </c>
      <c r="BE362" s="32">
        <v>0</v>
      </c>
      <c r="BF362" s="32">
        <f>360</f>
        <v>360</v>
      </c>
      <c r="BH362" s="15">
        <f>G362*AO362</f>
        <v>0</v>
      </c>
      <c r="BI362" s="15">
        <f>G362*AP362</f>
        <v>0</v>
      </c>
      <c r="BJ362" s="15">
        <f>G362*H362</f>
        <v>0</v>
      </c>
    </row>
    <row r="363" spans="1:62" x14ac:dyDescent="0.2">
      <c r="C363" s="58" t="s">
        <v>605</v>
      </c>
      <c r="D363" s="59"/>
      <c r="E363" s="59"/>
      <c r="G363" s="16">
        <v>45</v>
      </c>
    </row>
    <row r="364" spans="1:62" x14ac:dyDescent="0.2">
      <c r="A364" s="5"/>
      <c r="B364" s="13" t="s">
        <v>262</v>
      </c>
      <c r="C364" s="66" t="s">
        <v>606</v>
      </c>
      <c r="D364" s="67"/>
      <c r="E364" s="67"/>
      <c r="F364" s="5" t="s">
        <v>6</v>
      </c>
      <c r="G364" s="5" t="s">
        <v>6</v>
      </c>
      <c r="H364" s="5" t="s">
        <v>6</v>
      </c>
      <c r="I364" s="35">
        <f>SUM(I365:I379)</f>
        <v>0</v>
      </c>
      <c r="J364" s="35">
        <f>SUM(J365:J379)</f>
        <v>0</v>
      </c>
      <c r="K364" s="35">
        <f>SUM(K365:K379)</f>
        <v>0</v>
      </c>
      <c r="L364" s="28"/>
      <c r="AI364" s="28"/>
      <c r="AS364" s="35">
        <f>SUM(AJ365:AJ379)</f>
        <v>0</v>
      </c>
      <c r="AT364" s="35">
        <f>SUM(AK365:AK379)</f>
        <v>0</v>
      </c>
      <c r="AU364" s="35">
        <f>SUM(AL365:AL379)</f>
        <v>0</v>
      </c>
    </row>
    <row r="365" spans="1:62" x14ac:dyDescent="0.2">
      <c r="A365" s="4" t="s">
        <v>125</v>
      </c>
      <c r="B365" s="4" t="s">
        <v>263</v>
      </c>
      <c r="C365" s="56" t="s">
        <v>607</v>
      </c>
      <c r="D365" s="57"/>
      <c r="E365" s="57"/>
      <c r="F365" s="4" t="s">
        <v>630</v>
      </c>
      <c r="G365" s="15">
        <v>66.519469999999998</v>
      </c>
      <c r="H365" s="15">
        <v>0</v>
      </c>
      <c r="I365" s="15">
        <f>G365*AO365</f>
        <v>0</v>
      </c>
      <c r="J365" s="15">
        <f>G365*AP365</f>
        <v>0</v>
      </c>
      <c r="K365" s="15">
        <f>G365*H365</f>
        <v>0</v>
      </c>
      <c r="L365" s="27" t="s">
        <v>648</v>
      </c>
      <c r="Z365" s="32">
        <f>IF(AQ365="5",BJ365,0)</f>
        <v>0</v>
      </c>
      <c r="AB365" s="32">
        <f>IF(AQ365="1",BH365,0)</f>
        <v>0</v>
      </c>
      <c r="AC365" s="32">
        <f>IF(AQ365="1",BI365,0)</f>
        <v>0</v>
      </c>
      <c r="AD365" s="32">
        <f>IF(AQ365="7",BH365,0)</f>
        <v>0</v>
      </c>
      <c r="AE365" s="32">
        <f>IF(AQ365="7",BI365,0)</f>
        <v>0</v>
      </c>
      <c r="AF365" s="32">
        <f>IF(AQ365="2",BH365,0)</f>
        <v>0</v>
      </c>
      <c r="AG365" s="32">
        <f>IF(AQ365="2",BI365,0)</f>
        <v>0</v>
      </c>
      <c r="AH365" s="32">
        <f>IF(AQ365="0",BJ365,0)</f>
        <v>0</v>
      </c>
      <c r="AI365" s="28"/>
      <c r="AJ365" s="15">
        <f>IF(AN365=0,K365,0)</f>
        <v>0</v>
      </c>
      <c r="AK365" s="15">
        <f>IF(AN365=15,K365,0)</f>
        <v>0</v>
      </c>
      <c r="AL365" s="15">
        <f>IF(AN365=21,K365,0)</f>
        <v>0</v>
      </c>
      <c r="AN365" s="32">
        <v>21</v>
      </c>
      <c r="AO365" s="32">
        <f>H365*0</f>
        <v>0</v>
      </c>
      <c r="AP365" s="32">
        <f>H365*(1-0)</f>
        <v>0</v>
      </c>
      <c r="AQ365" s="27" t="s">
        <v>11</v>
      </c>
      <c r="AV365" s="32">
        <f>AW365+AX365</f>
        <v>0</v>
      </c>
      <c r="AW365" s="32">
        <f>G365*AO365</f>
        <v>0</v>
      </c>
      <c r="AX365" s="32">
        <f>G365*AP365</f>
        <v>0</v>
      </c>
      <c r="AY365" s="33" t="s">
        <v>684</v>
      </c>
      <c r="AZ365" s="33" t="s">
        <v>691</v>
      </c>
      <c r="BA365" s="28" t="s">
        <v>692</v>
      </c>
      <c r="BC365" s="32">
        <f>AW365+AX365</f>
        <v>0</v>
      </c>
      <c r="BD365" s="32">
        <f>H365/(100-BE365)*100</f>
        <v>0</v>
      </c>
      <c r="BE365" s="32">
        <v>0</v>
      </c>
      <c r="BF365" s="32">
        <f>363</f>
        <v>363</v>
      </c>
      <c r="BH365" s="15">
        <f>G365*AO365</f>
        <v>0</v>
      </c>
      <c r="BI365" s="15">
        <f>G365*AP365</f>
        <v>0</v>
      </c>
      <c r="BJ365" s="15">
        <f>G365*H365</f>
        <v>0</v>
      </c>
    </row>
    <row r="366" spans="1:62" x14ac:dyDescent="0.2">
      <c r="C366" s="58" t="s">
        <v>608</v>
      </c>
      <c r="D366" s="59"/>
      <c r="E366" s="59"/>
      <c r="G366" s="16">
        <v>66.519469999999998</v>
      </c>
    </row>
    <row r="367" spans="1:62" x14ac:dyDescent="0.2">
      <c r="A367" s="4" t="s">
        <v>126</v>
      </c>
      <c r="B367" s="4" t="s">
        <v>264</v>
      </c>
      <c r="C367" s="56" t="s">
        <v>609</v>
      </c>
      <c r="D367" s="57"/>
      <c r="E367" s="57"/>
      <c r="F367" s="4" t="s">
        <v>630</v>
      </c>
      <c r="G367" s="15">
        <v>66.519469999999998</v>
      </c>
      <c r="H367" s="15">
        <v>0</v>
      </c>
      <c r="I367" s="15">
        <f>G367*AO367</f>
        <v>0</v>
      </c>
      <c r="J367" s="15">
        <f>G367*AP367</f>
        <v>0</v>
      </c>
      <c r="K367" s="15">
        <f>G367*H367</f>
        <v>0</v>
      </c>
      <c r="L367" s="27" t="s">
        <v>648</v>
      </c>
      <c r="Z367" s="32">
        <f>IF(AQ367="5",BJ367,0)</f>
        <v>0</v>
      </c>
      <c r="AB367" s="32">
        <f>IF(AQ367="1",BH367,0)</f>
        <v>0</v>
      </c>
      <c r="AC367" s="32">
        <f>IF(AQ367="1",BI367,0)</f>
        <v>0</v>
      </c>
      <c r="AD367" s="32">
        <f>IF(AQ367="7",BH367,0)</f>
        <v>0</v>
      </c>
      <c r="AE367" s="32">
        <f>IF(AQ367="7",BI367,0)</f>
        <v>0</v>
      </c>
      <c r="AF367" s="32">
        <f>IF(AQ367="2",BH367,0)</f>
        <v>0</v>
      </c>
      <c r="AG367" s="32">
        <f>IF(AQ367="2",BI367,0)</f>
        <v>0</v>
      </c>
      <c r="AH367" s="32">
        <f>IF(AQ367="0",BJ367,0)</f>
        <v>0</v>
      </c>
      <c r="AI367" s="28"/>
      <c r="AJ367" s="15">
        <f>IF(AN367=0,K367,0)</f>
        <v>0</v>
      </c>
      <c r="AK367" s="15">
        <f>IF(AN367=15,K367,0)</f>
        <v>0</v>
      </c>
      <c r="AL367" s="15">
        <f>IF(AN367=21,K367,0)</f>
        <v>0</v>
      </c>
      <c r="AN367" s="32">
        <v>21</v>
      </c>
      <c r="AO367" s="32">
        <f>H367*0</f>
        <v>0</v>
      </c>
      <c r="AP367" s="32">
        <f>H367*(1-0)</f>
        <v>0</v>
      </c>
      <c r="AQ367" s="27" t="s">
        <v>11</v>
      </c>
      <c r="AV367" s="32">
        <f>AW367+AX367</f>
        <v>0</v>
      </c>
      <c r="AW367" s="32">
        <f>G367*AO367</f>
        <v>0</v>
      </c>
      <c r="AX367" s="32">
        <f>G367*AP367</f>
        <v>0</v>
      </c>
      <c r="AY367" s="33" t="s">
        <v>684</v>
      </c>
      <c r="AZ367" s="33" t="s">
        <v>691</v>
      </c>
      <c r="BA367" s="28" t="s">
        <v>692</v>
      </c>
      <c r="BC367" s="32">
        <f>AW367+AX367</f>
        <v>0</v>
      </c>
      <c r="BD367" s="32">
        <f>H367/(100-BE367)*100</f>
        <v>0</v>
      </c>
      <c r="BE367" s="32">
        <v>0</v>
      </c>
      <c r="BF367" s="32">
        <f>365</f>
        <v>365</v>
      </c>
      <c r="BH367" s="15">
        <f>G367*AO367</f>
        <v>0</v>
      </c>
      <c r="BI367" s="15">
        <f>G367*AP367</f>
        <v>0</v>
      </c>
      <c r="BJ367" s="15">
        <f>G367*H367</f>
        <v>0</v>
      </c>
    </row>
    <row r="368" spans="1:62" x14ac:dyDescent="0.2">
      <c r="C368" s="58" t="s">
        <v>608</v>
      </c>
      <c r="D368" s="59"/>
      <c r="E368" s="59"/>
      <c r="G368" s="16">
        <v>66.519469999999998</v>
      </c>
    </row>
    <row r="369" spans="1:62" x14ac:dyDescent="0.2">
      <c r="A369" s="4" t="s">
        <v>127</v>
      </c>
      <c r="B369" s="4" t="s">
        <v>265</v>
      </c>
      <c r="C369" s="56" t="s">
        <v>610</v>
      </c>
      <c r="D369" s="57"/>
      <c r="E369" s="57"/>
      <c r="F369" s="4" t="s">
        <v>630</v>
      </c>
      <c r="G369" s="15">
        <v>66.519469999999998</v>
      </c>
      <c r="H369" s="15">
        <v>0</v>
      </c>
      <c r="I369" s="15">
        <f>G369*AO369</f>
        <v>0</v>
      </c>
      <c r="J369" s="15">
        <f>G369*AP369</f>
        <v>0</v>
      </c>
      <c r="K369" s="15">
        <f>G369*H369</f>
        <v>0</v>
      </c>
      <c r="L369" s="27" t="s">
        <v>648</v>
      </c>
      <c r="Z369" s="32">
        <f>IF(AQ369="5",BJ369,0)</f>
        <v>0</v>
      </c>
      <c r="AB369" s="32">
        <f>IF(AQ369="1",BH369,0)</f>
        <v>0</v>
      </c>
      <c r="AC369" s="32">
        <f>IF(AQ369="1",BI369,0)</f>
        <v>0</v>
      </c>
      <c r="AD369" s="32">
        <f>IF(AQ369="7",BH369,0)</f>
        <v>0</v>
      </c>
      <c r="AE369" s="32">
        <f>IF(AQ369="7",BI369,0)</f>
        <v>0</v>
      </c>
      <c r="AF369" s="32">
        <f>IF(AQ369="2",BH369,0)</f>
        <v>0</v>
      </c>
      <c r="AG369" s="32">
        <f>IF(AQ369="2",BI369,0)</f>
        <v>0</v>
      </c>
      <c r="AH369" s="32">
        <f>IF(AQ369="0",BJ369,0)</f>
        <v>0</v>
      </c>
      <c r="AI369" s="28"/>
      <c r="AJ369" s="15">
        <f>IF(AN369=0,K369,0)</f>
        <v>0</v>
      </c>
      <c r="AK369" s="15">
        <f>IF(AN369=15,K369,0)</f>
        <v>0</v>
      </c>
      <c r="AL369" s="15">
        <f>IF(AN369=21,K369,0)</f>
        <v>0</v>
      </c>
      <c r="AN369" s="32">
        <v>21</v>
      </c>
      <c r="AO369" s="32">
        <f>H369*0</f>
        <v>0</v>
      </c>
      <c r="AP369" s="32">
        <f>H369*(1-0)</f>
        <v>0</v>
      </c>
      <c r="AQ369" s="27" t="s">
        <v>11</v>
      </c>
      <c r="AV369" s="32">
        <f>AW369+AX369</f>
        <v>0</v>
      </c>
      <c r="AW369" s="32">
        <f>G369*AO369</f>
        <v>0</v>
      </c>
      <c r="AX369" s="32">
        <f>G369*AP369</f>
        <v>0</v>
      </c>
      <c r="AY369" s="33" t="s">
        <v>684</v>
      </c>
      <c r="AZ369" s="33" t="s">
        <v>691</v>
      </c>
      <c r="BA369" s="28" t="s">
        <v>692</v>
      </c>
      <c r="BC369" s="32">
        <f>AW369+AX369</f>
        <v>0</v>
      </c>
      <c r="BD369" s="32">
        <f>H369/(100-BE369)*100</f>
        <v>0</v>
      </c>
      <c r="BE369" s="32">
        <v>0</v>
      </c>
      <c r="BF369" s="32">
        <f>367</f>
        <v>367</v>
      </c>
      <c r="BH369" s="15">
        <f>G369*AO369</f>
        <v>0</v>
      </c>
      <c r="BI369" s="15">
        <f>G369*AP369</f>
        <v>0</v>
      </c>
      <c r="BJ369" s="15">
        <f>G369*H369</f>
        <v>0</v>
      </c>
    </row>
    <row r="370" spans="1:62" x14ac:dyDescent="0.2">
      <c r="C370" s="58" t="s">
        <v>608</v>
      </c>
      <c r="D370" s="59"/>
      <c r="E370" s="59"/>
      <c r="G370" s="16">
        <v>66.519469999999998</v>
      </c>
    </row>
    <row r="371" spans="1:62" x14ac:dyDescent="0.2">
      <c r="A371" s="4" t="s">
        <v>128</v>
      </c>
      <c r="B371" s="4" t="s">
        <v>266</v>
      </c>
      <c r="C371" s="56" t="s">
        <v>611</v>
      </c>
      <c r="D371" s="57"/>
      <c r="E371" s="57"/>
      <c r="F371" s="4" t="s">
        <v>630</v>
      </c>
      <c r="G371" s="15">
        <v>66.519469999999998</v>
      </c>
      <c r="H371" s="15">
        <v>0</v>
      </c>
      <c r="I371" s="15">
        <f>G371*AO371</f>
        <v>0</v>
      </c>
      <c r="J371" s="15">
        <f>G371*AP371</f>
        <v>0</v>
      </c>
      <c r="K371" s="15">
        <f>G371*H371</f>
        <v>0</v>
      </c>
      <c r="L371" s="27" t="s">
        <v>648</v>
      </c>
      <c r="Z371" s="32">
        <f>IF(AQ371="5",BJ371,0)</f>
        <v>0</v>
      </c>
      <c r="AB371" s="32">
        <f>IF(AQ371="1",BH371,0)</f>
        <v>0</v>
      </c>
      <c r="AC371" s="32">
        <f>IF(AQ371="1",BI371,0)</f>
        <v>0</v>
      </c>
      <c r="AD371" s="32">
        <f>IF(AQ371="7",BH371,0)</f>
        <v>0</v>
      </c>
      <c r="AE371" s="32">
        <f>IF(AQ371="7",BI371,0)</f>
        <v>0</v>
      </c>
      <c r="AF371" s="32">
        <f>IF(AQ371="2",BH371,0)</f>
        <v>0</v>
      </c>
      <c r="AG371" s="32">
        <f>IF(AQ371="2",BI371,0)</f>
        <v>0</v>
      </c>
      <c r="AH371" s="32">
        <f>IF(AQ371="0",BJ371,0)</f>
        <v>0</v>
      </c>
      <c r="AI371" s="28"/>
      <c r="AJ371" s="15">
        <f>IF(AN371=0,K371,0)</f>
        <v>0</v>
      </c>
      <c r="AK371" s="15">
        <f>IF(AN371=15,K371,0)</f>
        <v>0</v>
      </c>
      <c r="AL371" s="15">
        <f>IF(AN371=21,K371,0)</f>
        <v>0</v>
      </c>
      <c r="AN371" s="32">
        <v>21</v>
      </c>
      <c r="AO371" s="32">
        <f>H371*0</f>
        <v>0</v>
      </c>
      <c r="AP371" s="32">
        <f>H371*(1-0)</f>
        <v>0</v>
      </c>
      <c r="AQ371" s="27" t="s">
        <v>11</v>
      </c>
      <c r="AV371" s="32">
        <f>AW371+AX371</f>
        <v>0</v>
      </c>
      <c r="AW371" s="32">
        <f>G371*AO371</f>
        <v>0</v>
      </c>
      <c r="AX371" s="32">
        <f>G371*AP371</f>
        <v>0</v>
      </c>
      <c r="AY371" s="33" t="s">
        <v>684</v>
      </c>
      <c r="AZ371" s="33" t="s">
        <v>691</v>
      </c>
      <c r="BA371" s="28" t="s">
        <v>692</v>
      </c>
      <c r="BC371" s="32">
        <f>AW371+AX371</f>
        <v>0</v>
      </c>
      <c r="BD371" s="32">
        <f>H371/(100-BE371)*100</f>
        <v>0</v>
      </c>
      <c r="BE371" s="32">
        <v>0</v>
      </c>
      <c r="BF371" s="32">
        <f>369</f>
        <v>369</v>
      </c>
      <c r="BH371" s="15">
        <f>G371*AO371</f>
        <v>0</v>
      </c>
      <c r="BI371" s="15">
        <f>G371*AP371</f>
        <v>0</v>
      </c>
      <c r="BJ371" s="15">
        <f>G371*H371</f>
        <v>0</v>
      </c>
    </row>
    <row r="372" spans="1:62" x14ac:dyDescent="0.2">
      <c r="C372" s="58" t="s">
        <v>608</v>
      </c>
      <c r="D372" s="59"/>
      <c r="E372" s="59"/>
      <c r="G372" s="16">
        <v>66.519469999999998</v>
      </c>
    </row>
    <row r="373" spans="1:62" x14ac:dyDescent="0.2">
      <c r="A373" s="4" t="s">
        <v>129</v>
      </c>
      <c r="B373" s="4" t="s">
        <v>267</v>
      </c>
      <c r="C373" s="56" t="s">
        <v>612</v>
      </c>
      <c r="D373" s="57"/>
      <c r="E373" s="57"/>
      <c r="F373" s="4" t="s">
        <v>630</v>
      </c>
      <c r="G373" s="15">
        <v>66.519469999999998</v>
      </c>
      <c r="H373" s="15">
        <v>0</v>
      </c>
      <c r="I373" s="15">
        <f>G373*AO373</f>
        <v>0</v>
      </c>
      <c r="J373" s="15">
        <f>G373*AP373</f>
        <v>0</v>
      </c>
      <c r="K373" s="15">
        <f>G373*H373</f>
        <v>0</v>
      </c>
      <c r="L373" s="27" t="s">
        <v>648</v>
      </c>
      <c r="Z373" s="32">
        <f>IF(AQ373="5",BJ373,0)</f>
        <v>0</v>
      </c>
      <c r="AB373" s="32">
        <f>IF(AQ373="1",BH373,0)</f>
        <v>0</v>
      </c>
      <c r="AC373" s="32">
        <f>IF(AQ373="1",BI373,0)</f>
        <v>0</v>
      </c>
      <c r="AD373" s="32">
        <f>IF(AQ373="7",BH373,0)</f>
        <v>0</v>
      </c>
      <c r="AE373" s="32">
        <f>IF(AQ373="7",BI373,0)</f>
        <v>0</v>
      </c>
      <c r="AF373" s="32">
        <f>IF(AQ373="2",BH373,0)</f>
        <v>0</v>
      </c>
      <c r="AG373" s="32">
        <f>IF(AQ373="2",BI373,0)</f>
        <v>0</v>
      </c>
      <c r="AH373" s="32">
        <f>IF(AQ373="0",BJ373,0)</f>
        <v>0</v>
      </c>
      <c r="AI373" s="28"/>
      <c r="AJ373" s="15">
        <f>IF(AN373=0,K373,0)</f>
        <v>0</v>
      </c>
      <c r="AK373" s="15">
        <f>IF(AN373=15,K373,0)</f>
        <v>0</v>
      </c>
      <c r="AL373" s="15">
        <f>IF(AN373=21,K373,0)</f>
        <v>0</v>
      </c>
      <c r="AN373" s="32">
        <v>21</v>
      </c>
      <c r="AO373" s="32">
        <f>H373*0</f>
        <v>0</v>
      </c>
      <c r="AP373" s="32">
        <f>H373*(1-0)</f>
        <v>0</v>
      </c>
      <c r="AQ373" s="27" t="s">
        <v>11</v>
      </c>
      <c r="AV373" s="32">
        <f>AW373+AX373</f>
        <v>0</v>
      </c>
      <c r="AW373" s="32">
        <f>G373*AO373</f>
        <v>0</v>
      </c>
      <c r="AX373" s="32">
        <f>G373*AP373</f>
        <v>0</v>
      </c>
      <c r="AY373" s="33" t="s">
        <v>684</v>
      </c>
      <c r="AZ373" s="33" t="s">
        <v>691</v>
      </c>
      <c r="BA373" s="28" t="s">
        <v>692</v>
      </c>
      <c r="BC373" s="32">
        <f>AW373+AX373</f>
        <v>0</v>
      </c>
      <c r="BD373" s="32">
        <f>H373/(100-BE373)*100</f>
        <v>0</v>
      </c>
      <c r="BE373" s="32">
        <v>0</v>
      </c>
      <c r="BF373" s="32">
        <f>371</f>
        <v>371</v>
      </c>
      <c r="BH373" s="15">
        <f>G373*AO373</f>
        <v>0</v>
      </c>
      <c r="BI373" s="15">
        <f>G373*AP373</f>
        <v>0</v>
      </c>
      <c r="BJ373" s="15">
        <f>G373*H373</f>
        <v>0</v>
      </c>
    </row>
    <row r="374" spans="1:62" x14ac:dyDescent="0.2">
      <c r="C374" s="58" t="s">
        <v>608</v>
      </c>
      <c r="D374" s="59"/>
      <c r="E374" s="59"/>
      <c r="G374" s="16">
        <v>66.519469999999998</v>
      </c>
    </row>
    <row r="375" spans="1:62" x14ac:dyDescent="0.2">
      <c r="A375" s="4" t="s">
        <v>130</v>
      </c>
      <c r="B375" s="4" t="s">
        <v>268</v>
      </c>
      <c r="C375" s="56" t="s">
        <v>613</v>
      </c>
      <c r="D375" s="57"/>
      <c r="E375" s="57"/>
      <c r="F375" s="4" t="s">
        <v>630</v>
      </c>
      <c r="G375" s="15">
        <v>1263.8699300000001</v>
      </c>
      <c r="H375" s="15">
        <v>0</v>
      </c>
      <c r="I375" s="15">
        <f>G375*AO375</f>
        <v>0</v>
      </c>
      <c r="J375" s="15">
        <f>G375*AP375</f>
        <v>0</v>
      </c>
      <c r="K375" s="15">
        <f>G375*H375</f>
        <v>0</v>
      </c>
      <c r="L375" s="27" t="s">
        <v>648</v>
      </c>
      <c r="Z375" s="32">
        <f>IF(AQ375="5",BJ375,0)</f>
        <v>0</v>
      </c>
      <c r="AB375" s="32">
        <f>IF(AQ375="1",BH375,0)</f>
        <v>0</v>
      </c>
      <c r="AC375" s="32">
        <f>IF(AQ375="1",BI375,0)</f>
        <v>0</v>
      </c>
      <c r="AD375" s="32">
        <f>IF(AQ375="7",BH375,0)</f>
        <v>0</v>
      </c>
      <c r="AE375" s="32">
        <f>IF(AQ375="7",BI375,0)</f>
        <v>0</v>
      </c>
      <c r="AF375" s="32">
        <f>IF(AQ375="2",BH375,0)</f>
        <v>0</v>
      </c>
      <c r="AG375" s="32">
        <f>IF(AQ375="2",BI375,0)</f>
        <v>0</v>
      </c>
      <c r="AH375" s="32">
        <f>IF(AQ375="0",BJ375,0)</f>
        <v>0</v>
      </c>
      <c r="AI375" s="28"/>
      <c r="AJ375" s="15">
        <f>IF(AN375=0,K375,0)</f>
        <v>0</v>
      </c>
      <c r="AK375" s="15">
        <f>IF(AN375=15,K375,0)</f>
        <v>0</v>
      </c>
      <c r="AL375" s="15">
        <f>IF(AN375=21,K375,0)</f>
        <v>0</v>
      </c>
      <c r="AN375" s="32">
        <v>21</v>
      </c>
      <c r="AO375" s="32">
        <f>H375*0</f>
        <v>0</v>
      </c>
      <c r="AP375" s="32">
        <f>H375*(1-0)</f>
        <v>0</v>
      </c>
      <c r="AQ375" s="27" t="s">
        <v>11</v>
      </c>
      <c r="AV375" s="32">
        <f>AW375+AX375</f>
        <v>0</v>
      </c>
      <c r="AW375" s="32">
        <f>G375*AO375</f>
        <v>0</v>
      </c>
      <c r="AX375" s="32">
        <f>G375*AP375</f>
        <v>0</v>
      </c>
      <c r="AY375" s="33" t="s">
        <v>684</v>
      </c>
      <c r="AZ375" s="33" t="s">
        <v>691</v>
      </c>
      <c r="BA375" s="28" t="s">
        <v>692</v>
      </c>
      <c r="BC375" s="32">
        <f>AW375+AX375</f>
        <v>0</v>
      </c>
      <c r="BD375" s="32">
        <f>H375/(100-BE375)*100</f>
        <v>0</v>
      </c>
      <c r="BE375" s="32">
        <v>0</v>
      </c>
      <c r="BF375" s="32">
        <f>373</f>
        <v>373</v>
      </c>
      <c r="BH375" s="15">
        <f>G375*AO375</f>
        <v>0</v>
      </c>
      <c r="BI375" s="15">
        <f>G375*AP375</f>
        <v>0</v>
      </c>
      <c r="BJ375" s="15">
        <f>G375*H375</f>
        <v>0</v>
      </c>
    </row>
    <row r="376" spans="1:62" x14ac:dyDescent="0.2">
      <c r="C376" s="58" t="s">
        <v>614</v>
      </c>
      <c r="D376" s="59"/>
      <c r="E376" s="59"/>
      <c r="G376" s="16">
        <v>1263.8699300000001</v>
      </c>
    </row>
    <row r="377" spans="1:62" x14ac:dyDescent="0.2">
      <c r="A377" s="4" t="s">
        <v>131</v>
      </c>
      <c r="B377" s="4" t="s">
        <v>269</v>
      </c>
      <c r="C377" s="56" t="s">
        <v>615</v>
      </c>
      <c r="D377" s="57"/>
      <c r="E377" s="57"/>
      <c r="F377" s="4" t="s">
        <v>630</v>
      </c>
      <c r="G377" s="15">
        <v>19.352499999999999</v>
      </c>
      <c r="H377" s="15">
        <v>0</v>
      </c>
      <c r="I377" s="15">
        <f>G377*AO377</f>
        <v>0</v>
      </c>
      <c r="J377" s="15">
        <f>G377*AP377</f>
        <v>0</v>
      </c>
      <c r="K377" s="15">
        <f>G377*H377</f>
        <v>0</v>
      </c>
      <c r="L377" s="27" t="s">
        <v>648</v>
      </c>
      <c r="Z377" s="32">
        <f>IF(AQ377="5",BJ377,0)</f>
        <v>0</v>
      </c>
      <c r="AB377" s="32">
        <f>IF(AQ377="1",BH377,0)</f>
        <v>0</v>
      </c>
      <c r="AC377" s="32">
        <f>IF(AQ377="1",BI377,0)</f>
        <v>0</v>
      </c>
      <c r="AD377" s="32">
        <f>IF(AQ377="7",BH377,0)</f>
        <v>0</v>
      </c>
      <c r="AE377" s="32">
        <f>IF(AQ377="7",BI377,0)</f>
        <v>0</v>
      </c>
      <c r="AF377" s="32">
        <f>IF(AQ377="2",BH377,0)</f>
        <v>0</v>
      </c>
      <c r="AG377" s="32">
        <f>IF(AQ377="2",BI377,0)</f>
        <v>0</v>
      </c>
      <c r="AH377" s="32">
        <f>IF(AQ377="0",BJ377,0)</f>
        <v>0</v>
      </c>
      <c r="AI377" s="28"/>
      <c r="AJ377" s="15">
        <f>IF(AN377=0,K377,0)</f>
        <v>0</v>
      </c>
      <c r="AK377" s="15">
        <f>IF(AN377=15,K377,0)</f>
        <v>0</v>
      </c>
      <c r="AL377" s="15">
        <f>IF(AN377=21,K377,0)</f>
        <v>0</v>
      </c>
      <c r="AN377" s="32">
        <v>21</v>
      </c>
      <c r="AO377" s="32">
        <f>H377*0</f>
        <v>0</v>
      </c>
      <c r="AP377" s="32">
        <f>H377*(1-0)</f>
        <v>0</v>
      </c>
      <c r="AQ377" s="27" t="s">
        <v>11</v>
      </c>
      <c r="AV377" s="32">
        <f>AW377+AX377</f>
        <v>0</v>
      </c>
      <c r="AW377" s="32">
        <f>G377*AO377</f>
        <v>0</v>
      </c>
      <c r="AX377" s="32">
        <f>G377*AP377</f>
        <v>0</v>
      </c>
      <c r="AY377" s="33" t="s">
        <v>684</v>
      </c>
      <c r="AZ377" s="33" t="s">
        <v>691</v>
      </c>
      <c r="BA377" s="28" t="s">
        <v>692</v>
      </c>
      <c r="BC377" s="32">
        <f>AW377+AX377</f>
        <v>0</v>
      </c>
      <c r="BD377" s="32">
        <f>H377/(100-BE377)*100</f>
        <v>0</v>
      </c>
      <c r="BE377" s="32">
        <v>0</v>
      </c>
      <c r="BF377" s="32">
        <f>375</f>
        <v>375</v>
      </c>
      <c r="BH377" s="15">
        <f>G377*AO377</f>
        <v>0</v>
      </c>
      <c r="BI377" s="15">
        <f>G377*AP377</f>
        <v>0</v>
      </c>
      <c r="BJ377" s="15">
        <f>G377*H377</f>
        <v>0</v>
      </c>
    </row>
    <row r="378" spans="1:62" x14ac:dyDescent="0.2">
      <c r="C378" s="58" t="s">
        <v>616</v>
      </c>
      <c r="D378" s="59"/>
      <c r="E378" s="59"/>
      <c r="G378" s="16">
        <v>19.352499999999999</v>
      </c>
    </row>
    <row r="379" spans="1:62" x14ac:dyDescent="0.2">
      <c r="A379" s="4" t="s">
        <v>132</v>
      </c>
      <c r="B379" s="4" t="s">
        <v>270</v>
      </c>
      <c r="C379" s="56" t="s">
        <v>617</v>
      </c>
      <c r="D379" s="57"/>
      <c r="E379" s="57"/>
      <c r="F379" s="4" t="s">
        <v>630</v>
      </c>
      <c r="G379" s="15">
        <v>47.17</v>
      </c>
      <c r="H379" s="15">
        <v>0</v>
      </c>
      <c r="I379" s="15">
        <f>G379*AO379</f>
        <v>0</v>
      </c>
      <c r="J379" s="15">
        <f>G379*AP379</f>
        <v>0</v>
      </c>
      <c r="K379" s="15">
        <f>G379*H379</f>
        <v>0</v>
      </c>
      <c r="L379" s="27" t="s">
        <v>648</v>
      </c>
      <c r="Z379" s="32">
        <f>IF(AQ379="5",BJ379,0)</f>
        <v>0</v>
      </c>
      <c r="AB379" s="32">
        <f>IF(AQ379="1",BH379,0)</f>
        <v>0</v>
      </c>
      <c r="AC379" s="32">
        <f>IF(AQ379="1",BI379,0)</f>
        <v>0</v>
      </c>
      <c r="AD379" s="32">
        <f>IF(AQ379="7",BH379,0)</f>
        <v>0</v>
      </c>
      <c r="AE379" s="32">
        <f>IF(AQ379="7",BI379,0)</f>
        <v>0</v>
      </c>
      <c r="AF379" s="32">
        <f>IF(AQ379="2",BH379,0)</f>
        <v>0</v>
      </c>
      <c r="AG379" s="32">
        <f>IF(AQ379="2",BI379,0)</f>
        <v>0</v>
      </c>
      <c r="AH379" s="32">
        <f>IF(AQ379="0",BJ379,0)</f>
        <v>0</v>
      </c>
      <c r="AI379" s="28"/>
      <c r="AJ379" s="15">
        <f>IF(AN379=0,K379,0)</f>
        <v>0</v>
      </c>
      <c r="AK379" s="15">
        <f>IF(AN379=15,K379,0)</f>
        <v>0</v>
      </c>
      <c r="AL379" s="15">
        <f>IF(AN379=21,K379,0)</f>
        <v>0</v>
      </c>
      <c r="AN379" s="32">
        <v>21</v>
      </c>
      <c r="AO379" s="32">
        <f>H379*0</f>
        <v>0</v>
      </c>
      <c r="AP379" s="32">
        <f>H379*(1-0)</f>
        <v>0</v>
      </c>
      <c r="AQ379" s="27" t="s">
        <v>11</v>
      </c>
      <c r="AV379" s="32">
        <f>AW379+AX379</f>
        <v>0</v>
      </c>
      <c r="AW379" s="32">
        <f>G379*AO379</f>
        <v>0</v>
      </c>
      <c r="AX379" s="32">
        <f>G379*AP379</f>
        <v>0</v>
      </c>
      <c r="AY379" s="33" t="s">
        <v>684</v>
      </c>
      <c r="AZ379" s="33" t="s">
        <v>691</v>
      </c>
      <c r="BA379" s="28" t="s">
        <v>692</v>
      </c>
      <c r="BC379" s="32">
        <f>AW379+AX379</f>
        <v>0</v>
      </c>
      <c r="BD379" s="32">
        <f>H379/(100-BE379)*100</f>
        <v>0</v>
      </c>
      <c r="BE379" s="32">
        <v>0</v>
      </c>
      <c r="BF379" s="32">
        <f>377</f>
        <v>377</v>
      </c>
      <c r="BH379" s="15">
        <f>G379*AO379</f>
        <v>0</v>
      </c>
      <c r="BI379" s="15">
        <f>G379*AP379</f>
        <v>0</v>
      </c>
      <c r="BJ379" s="15">
        <f>G379*H379</f>
        <v>0</v>
      </c>
    </row>
    <row r="380" spans="1:62" x14ac:dyDescent="0.2">
      <c r="A380" s="7"/>
      <c r="B380" s="7"/>
      <c r="C380" s="60" t="s">
        <v>618</v>
      </c>
      <c r="D380" s="61"/>
      <c r="E380" s="61"/>
      <c r="F380" s="7"/>
      <c r="G380" s="18">
        <v>47.17</v>
      </c>
      <c r="H380" s="7"/>
      <c r="I380" s="7"/>
      <c r="J380" s="7"/>
      <c r="K380" s="7"/>
      <c r="L380" s="7"/>
    </row>
    <row r="381" spans="1:62" x14ac:dyDescent="0.2">
      <c r="A381" s="8"/>
      <c r="B381" s="8"/>
      <c r="C381" s="8"/>
      <c r="D381" s="8"/>
      <c r="E381" s="8"/>
      <c r="F381" s="8"/>
      <c r="G381" s="8"/>
      <c r="H381" s="8"/>
      <c r="I381" s="62" t="s">
        <v>643</v>
      </c>
      <c r="J381" s="63"/>
      <c r="K381" s="36">
        <f>K12+K15+K18+K24+K32+K35+K37+K40+K45+K124+K128+K160+K174+K177+K198+K205+K228+K265+K279+K282+K300+K314+K351+K358+K361+K364</f>
        <v>0</v>
      </c>
      <c r="L381" s="8"/>
    </row>
    <row r="382" spans="1:62" ht="11.25" customHeight="1" x14ac:dyDescent="0.2">
      <c r="A382" s="9" t="s">
        <v>133</v>
      </c>
    </row>
    <row r="383" spans="1:62" x14ac:dyDescent="0.2">
      <c r="A383" s="64"/>
      <c r="B383" s="65"/>
      <c r="C383" s="65"/>
      <c r="D383" s="65"/>
      <c r="E383" s="65"/>
      <c r="F383" s="65"/>
      <c r="G383" s="65"/>
      <c r="H383" s="65"/>
      <c r="I383" s="65"/>
      <c r="J383" s="65"/>
      <c r="K383" s="65"/>
      <c r="L383" s="65"/>
    </row>
  </sheetData>
  <mergeCells count="399">
    <mergeCell ref="A4:B5"/>
    <mergeCell ref="C4:C5"/>
    <mergeCell ref="D4:E5"/>
    <mergeCell ref="F4:G5"/>
    <mergeCell ref="H4:H5"/>
    <mergeCell ref="I4:L5"/>
    <mergeCell ref="A1:L1"/>
    <mergeCell ref="A2:B3"/>
    <mergeCell ref="C2:C3"/>
    <mergeCell ref="D2:E3"/>
    <mergeCell ref="F2:G3"/>
    <mergeCell ref="H2:H3"/>
    <mergeCell ref="I2:L3"/>
    <mergeCell ref="A8:B9"/>
    <mergeCell ref="C8:C9"/>
    <mergeCell ref="D8:E9"/>
    <mergeCell ref="F8:G9"/>
    <mergeCell ref="H8:H9"/>
    <mergeCell ref="I8:L9"/>
    <mergeCell ref="A6:B7"/>
    <mergeCell ref="C6:C7"/>
    <mergeCell ref="D6:E7"/>
    <mergeCell ref="F6:G7"/>
    <mergeCell ref="H6:H7"/>
    <mergeCell ref="I6:L7"/>
    <mergeCell ref="C15:E15"/>
    <mergeCell ref="C16:E16"/>
    <mergeCell ref="C17:E17"/>
    <mergeCell ref="C18:E18"/>
    <mergeCell ref="C19:E19"/>
    <mergeCell ref="C20:E20"/>
    <mergeCell ref="C10:E10"/>
    <mergeCell ref="I10:K10"/>
    <mergeCell ref="C11:E11"/>
    <mergeCell ref="C12:E12"/>
    <mergeCell ref="C13:E13"/>
    <mergeCell ref="C14:E14"/>
    <mergeCell ref="C27:E27"/>
    <mergeCell ref="C28:E28"/>
    <mergeCell ref="C29:E29"/>
    <mergeCell ref="C30:E30"/>
    <mergeCell ref="C31:E31"/>
    <mergeCell ref="C32:E32"/>
    <mergeCell ref="C21:E21"/>
    <mergeCell ref="C22:E22"/>
    <mergeCell ref="C23:E23"/>
    <mergeCell ref="C24:E24"/>
    <mergeCell ref="C25:E25"/>
    <mergeCell ref="C26:E26"/>
    <mergeCell ref="C41:E41"/>
    <mergeCell ref="C42:E42"/>
    <mergeCell ref="C43:E43"/>
    <mergeCell ref="C44:E44"/>
    <mergeCell ref="C45:E45"/>
    <mergeCell ref="C46:E46"/>
    <mergeCell ref="C33:E33"/>
    <mergeCell ref="C34:E34"/>
    <mergeCell ref="C37:E37"/>
    <mergeCell ref="C38:E38"/>
    <mergeCell ref="C39:E39"/>
    <mergeCell ref="C40:E40"/>
    <mergeCell ref="C35:E35"/>
    <mergeCell ref="C36:E36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E51"/>
    <mergeCell ref="C52:E52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77:E77"/>
    <mergeCell ref="C78:E78"/>
    <mergeCell ref="C79:E79"/>
    <mergeCell ref="C80:E80"/>
    <mergeCell ref="C81:E81"/>
    <mergeCell ref="C82:E82"/>
    <mergeCell ref="C71:E71"/>
    <mergeCell ref="C72:E72"/>
    <mergeCell ref="C73:E73"/>
    <mergeCell ref="C74:E74"/>
    <mergeCell ref="C75:E75"/>
    <mergeCell ref="C76:E76"/>
    <mergeCell ref="C89:E89"/>
    <mergeCell ref="C90:E90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E88"/>
    <mergeCell ref="C101:E101"/>
    <mergeCell ref="C102:E102"/>
    <mergeCell ref="C103:E103"/>
    <mergeCell ref="C104:E104"/>
    <mergeCell ref="C105:E105"/>
    <mergeCell ref="C106:E106"/>
    <mergeCell ref="C95:E95"/>
    <mergeCell ref="C96:E96"/>
    <mergeCell ref="C97:E97"/>
    <mergeCell ref="C98:E98"/>
    <mergeCell ref="C99:E99"/>
    <mergeCell ref="C100:E100"/>
    <mergeCell ref="C113:E113"/>
    <mergeCell ref="C114:E114"/>
    <mergeCell ref="C115:E115"/>
    <mergeCell ref="C116:E116"/>
    <mergeCell ref="C117:E117"/>
    <mergeCell ref="C118:E118"/>
    <mergeCell ref="C107:E107"/>
    <mergeCell ref="C108:E108"/>
    <mergeCell ref="C109:E109"/>
    <mergeCell ref="C110:E110"/>
    <mergeCell ref="C111:E111"/>
    <mergeCell ref="C112:E112"/>
    <mergeCell ref="C125:E125"/>
    <mergeCell ref="C126:E126"/>
    <mergeCell ref="C127:E127"/>
    <mergeCell ref="C128:E128"/>
    <mergeCell ref="C129:E129"/>
    <mergeCell ref="C130:E130"/>
    <mergeCell ref="C119:E119"/>
    <mergeCell ref="C120:E120"/>
    <mergeCell ref="C121:E121"/>
    <mergeCell ref="C122:E122"/>
    <mergeCell ref="C123:E123"/>
    <mergeCell ref="C124:E124"/>
    <mergeCell ref="C137:E137"/>
    <mergeCell ref="C138:E138"/>
    <mergeCell ref="C139:E139"/>
    <mergeCell ref="C140:E140"/>
    <mergeCell ref="C141:E141"/>
    <mergeCell ref="C142:E142"/>
    <mergeCell ref="C131:E131"/>
    <mergeCell ref="C132:E132"/>
    <mergeCell ref="C133:E133"/>
    <mergeCell ref="C134:E134"/>
    <mergeCell ref="C135:E135"/>
    <mergeCell ref="C136:E136"/>
    <mergeCell ref="C149:E149"/>
    <mergeCell ref="C150:E150"/>
    <mergeCell ref="C151:E151"/>
    <mergeCell ref="C152:E152"/>
    <mergeCell ref="C153:E153"/>
    <mergeCell ref="C154:E154"/>
    <mergeCell ref="C143:E143"/>
    <mergeCell ref="C144:E144"/>
    <mergeCell ref="C145:E145"/>
    <mergeCell ref="C146:E146"/>
    <mergeCell ref="C147:E147"/>
    <mergeCell ref="C148:E148"/>
    <mergeCell ref="C161:E161"/>
    <mergeCell ref="C162:E162"/>
    <mergeCell ref="C163:E163"/>
    <mergeCell ref="C164:E164"/>
    <mergeCell ref="C165:E165"/>
    <mergeCell ref="C166:E166"/>
    <mergeCell ref="C155:E155"/>
    <mergeCell ref="C156:E156"/>
    <mergeCell ref="C157:E157"/>
    <mergeCell ref="C158:E158"/>
    <mergeCell ref="C159:E159"/>
    <mergeCell ref="C160:E160"/>
    <mergeCell ref="C173:E173"/>
    <mergeCell ref="C174:E174"/>
    <mergeCell ref="C175:E175"/>
    <mergeCell ref="C176:E176"/>
    <mergeCell ref="C177:E177"/>
    <mergeCell ref="C178:E178"/>
    <mergeCell ref="C167:E167"/>
    <mergeCell ref="C168:E168"/>
    <mergeCell ref="C169:E169"/>
    <mergeCell ref="C170:E170"/>
    <mergeCell ref="C171:E171"/>
    <mergeCell ref="C172:E172"/>
    <mergeCell ref="C185:E185"/>
    <mergeCell ref="C186:E186"/>
    <mergeCell ref="C187:E187"/>
    <mergeCell ref="C188:E188"/>
    <mergeCell ref="C189:E189"/>
    <mergeCell ref="C190:E190"/>
    <mergeCell ref="C179:E179"/>
    <mergeCell ref="C180:E180"/>
    <mergeCell ref="C181:E181"/>
    <mergeCell ref="C182:E182"/>
    <mergeCell ref="C183:E183"/>
    <mergeCell ref="C184:E184"/>
    <mergeCell ref="C197:E197"/>
    <mergeCell ref="C198:E198"/>
    <mergeCell ref="C199:E199"/>
    <mergeCell ref="C200:E200"/>
    <mergeCell ref="C201:E201"/>
    <mergeCell ref="C202:E202"/>
    <mergeCell ref="C191:E191"/>
    <mergeCell ref="C192:E192"/>
    <mergeCell ref="C193:E193"/>
    <mergeCell ref="C194:E194"/>
    <mergeCell ref="C195:E195"/>
    <mergeCell ref="C196:E196"/>
    <mergeCell ref="C209:E209"/>
    <mergeCell ref="C210:E210"/>
    <mergeCell ref="C211:E211"/>
    <mergeCell ref="C212:E212"/>
    <mergeCell ref="C213:E213"/>
    <mergeCell ref="C214:E214"/>
    <mergeCell ref="C203:E203"/>
    <mergeCell ref="C204:E204"/>
    <mergeCell ref="C205:E205"/>
    <mergeCell ref="C206:E206"/>
    <mergeCell ref="C207:E207"/>
    <mergeCell ref="C208:E208"/>
    <mergeCell ref="C221:E221"/>
    <mergeCell ref="C222:E222"/>
    <mergeCell ref="C223:E223"/>
    <mergeCell ref="C224:E224"/>
    <mergeCell ref="C225:E225"/>
    <mergeCell ref="C226:E226"/>
    <mergeCell ref="C215:E215"/>
    <mergeCell ref="C216:E216"/>
    <mergeCell ref="C217:E217"/>
    <mergeCell ref="C218:E218"/>
    <mergeCell ref="C219:E219"/>
    <mergeCell ref="C220:E220"/>
    <mergeCell ref="C233:E233"/>
    <mergeCell ref="C234:E234"/>
    <mergeCell ref="C235:E235"/>
    <mergeCell ref="C236:E236"/>
    <mergeCell ref="C237:E237"/>
    <mergeCell ref="C238:E238"/>
    <mergeCell ref="C227:E227"/>
    <mergeCell ref="C228:E228"/>
    <mergeCell ref="C229:E229"/>
    <mergeCell ref="C230:E230"/>
    <mergeCell ref="C231:E231"/>
    <mergeCell ref="C232:E232"/>
    <mergeCell ref="C245:E245"/>
    <mergeCell ref="C246:E246"/>
    <mergeCell ref="C247:E247"/>
    <mergeCell ref="C248:E248"/>
    <mergeCell ref="C249:E249"/>
    <mergeCell ref="C250:E250"/>
    <mergeCell ref="C239:E239"/>
    <mergeCell ref="C240:E240"/>
    <mergeCell ref="C241:E241"/>
    <mergeCell ref="C242:E242"/>
    <mergeCell ref="C243:E243"/>
    <mergeCell ref="C244:E244"/>
    <mergeCell ref="C257:E257"/>
    <mergeCell ref="C258:E258"/>
    <mergeCell ref="C259:E259"/>
    <mergeCell ref="C260:E260"/>
    <mergeCell ref="C261:E261"/>
    <mergeCell ref="C262:E262"/>
    <mergeCell ref="C251:E251"/>
    <mergeCell ref="C252:E252"/>
    <mergeCell ref="C253:E253"/>
    <mergeCell ref="C254:E254"/>
    <mergeCell ref="C255:E255"/>
    <mergeCell ref="C256:E256"/>
    <mergeCell ref="C269:E269"/>
    <mergeCell ref="C270:E270"/>
    <mergeCell ref="C271:E271"/>
    <mergeCell ref="C272:E272"/>
    <mergeCell ref="C273:E273"/>
    <mergeCell ref="C274:E274"/>
    <mergeCell ref="C263:E263"/>
    <mergeCell ref="C264:E264"/>
    <mergeCell ref="C265:E265"/>
    <mergeCell ref="C266:E266"/>
    <mergeCell ref="C267:E267"/>
    <mergeCell ref="C268:E268"/>
    <mergeCell ref="C281:E281"/>
    <mergeCell ref="C282:E282"/>
    <mergeCell ref="C283:E283"/>
    <mergeCell ref="C284:E284"/>
    <mergeCell ref="C285:E285"/>
    <mergeCell ref="C286:E286"/>
    <mergeCell ref="C275:E275"/>
    <mergeCell ref="C276:E276"/>
    <mergeCell ref="C277:E277"/>
    <mergeCell ref="C278:E278"/>
    <mergeCell ref="C279:E279"/>
    <mergeCell ref="C280:E280"/>
    <mergeCell ref="C293:E293"/>
    <mergeCell ref="C294:E294"/>
    <mergeCell ref="C295:E295"/>
    <mergeCell ref="C296:E296"/>
    <mergeCell ref="C297:E297"/>
    <mergeCell ref="C298:E298"/>
    <mergeCell ref="C287:E287"/>
    <mergeCell ref="C288:E288"/>
    <mergeCell ref="C289:E289"/>
    <mergeCell ref="C290:E290"/>
    <mergeCell ref="C291:E291"/>
    <mergeCell ref="C292:E292"/>
    <mergeCell ref="C305:E305"/>
    <mergeCell ref="C306:E306"/>
    <mergeCell ref="C307:E307"/>
    <mergeCell ref="C308:E308"/>
    <mergeCell ref="C309:E309"/>
    <mergeCell ref="C310:E310"/>
    <mergeCell ref="C299:E299"/>
    <mergeCell ref="C300:E300"/>
    <mergeCell ref="C301:E301"/>
    <mergeCell ref="C302:E302"/>
    <mergeCell ref="C303:E303"/>
    <mergeCell ref="C304:E304"/>
    <mergeCell ref="C317:E317"/>
    <mergeCell ref="C318:E318"/>
    <mergeCell ref="C319:E319"/>
    <mergeCell ref="C320:E320"/>
    <mergeCell ref="C321:E321"/>
    <mergeCell ref="C322:E322"/>
    <mergeCell ref="C311:E311"/>
    <mergeCell ref="C312:E312"/>
    <mergeCell ref="C313:E313"/>
    <mergeCell ref="C314:E314"/>
    <mergeCell ref="C315:E315"/>
    <mergeCell ref="C316:E316"/>
    <mergeCell ref="C329:E329"/>
    <mergeCell ref="C330:E330"/>
    <mergeCell ref="C331:E331"/>
    <mergeCell ref="C332:E332"/>
    <mergeCell ref="C333:E333"/>
    <mergeCell ref="C334:E334"/>
    <mergeCell ref="C323:E323"/>
    <mergeCell ref="C324:E324"/>
    <mergeCell ref="C325:E325"/>
    <mergeCell ref="C326:E326"/>
    <mergeCell ref="C327:E327"/>
    <mergeCell ref="C328:E328"/>
    <mergeCell ref="C341:E341"/>
    <mergeCell ref="C342:E342"/>
    <mergeCell ref="C343:E343"/>
    <mergeCell ref="C344:E344"/>
    <mergeCell ref="C345:E345"/>
    <mergeCell ref="C346:E346"/>
    <mergeCell ref="C335:E335"/>
    <mergeCell ref="C336:E336"/>
    <mergeCell ref="C337:E337"/>
    <mergeCell ref="C338:E338"/>
    <mergeCell ref="C339:E339"/>
    <mergeCell ref="C340:E340"/>
    <mergeCell ref="C353:E353"/>
    <mergeCell ref="C354:E354"/>
    <mergeCell ref="C355:E355"/>
    <mergeCell ref="C356:E356"/>
    <mergeCell ref="C357:E357"/>
    <mergeCell ref="C358:E358"/>
    <mergeCell ref="C347:E347"/>
    <mergeCell ref="C348:E348"/>
    <mergeCell ref="C349:E349"/>
    <mergeCell ref="C350:E350"/>
    <mergeCell ref="C351:E351"/>
    <mergeCell ref="C352:E352"/>
    <mergeCell ref="C365:E365"/>
    <mergeCell ref="C366:E366"/>
    <mergeCell ref="C367:E367"/>
    <mergeCell ref="C368:E368"/>
    <mergeCell ref="C369:E369"/>
    <mergeCell ref="C370:E370"/>
    <mergeCell ref="C359:E359"/>
    <mergeCell ref="C360:E360"/>
    <mergeCell ref="C361:E361"/>
    <mergeCell ref="C362:E362"/>
    <mergeCell ref="C363:E363"/>
    <mergeCell ref="C364:E364"/>
    <mergeCell ref="C377:E377"/>
    <mergeCell ref="C378:E378"/>
    <mergeCell ref="C379:E379"/>
    <mergeCell ref="C380:E380"/>
    <mergeCell ref="I381:J381"/>
    <mergeCell ref="A383:L383"/>
    <mergeCell ref="C371:E371"/>
    <mergeCell ref="C372:E372"/>
    <mergeCell ref="C373:E373"/>
    <mergeCell ref="C374:E374"/>
    <mergeCell ref="C375:E375"/>
    <mergeCell ref="C376:E376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25"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53"/>
      <c r="B1" s="7"/>
      <c r="C1" s="121" t="s">
        <v>711</v>
      </c>
      <c r="D1" s="89"/>
      <c r="E1" s="89"/>
      <c r="F1" s="89"/>
      <c r="G1" s="89"/>
      <c r="H1" s="89"/>
      <c r="I1" s="89"/>
    </row>
    <row r="2" spans="1:10" x14ac:dyDescent="0.2">
      <c r="A2" s="90" t="s">
        <v>1</v>
      </c>
      <c r="B2" s="91"/>
      <c r="C2" s="92" t="str">
        <f>'Stavební rozpočet'!C2</f>
        <v>SNÍŽENÍ ENERGETICKÉ NÁROČNOSTI BUDOVY 3. ZÁKLADNÍ ŠKOLY, CHEB</v>
      </c>
      <c r="D2" s="63"/>
      <c r="E2" s="95" t="s">
        <v>632</v>
      </c>
      <c r="F2" s="95" t="str">
        <f>'Stavební rozpočet'!I2</f>
        <v>Město Cheb</v>
      </c>
      <c r="G2" s="91"/>
      <c r="H2" s="95" t="s">
        <v>736</v>
      </c>
      <c r="I2" s="122"/>
      <c r="J2" s="30"/>
    </row>
    <row r="3" spans="1:10" ht="25.7" customHeight="1" x14ac:dyDescent="0.2">
      <c r="A3" s="87"/>
      <c r="B3" s="65"/>
      <c r="C3" s="93"/>
      <c r="D3" s="93"/>
      <c r="E3" s="65"/>
      <c r="F3" s="65"/>
      <c r="G3" s="65"/>
      <c r="H3" s="65"/>
      <c r="I3" s="85"/>
      <c r="J3" s="30"/>
    </row>
    <row r="4" spans="1:10" x14ac:dyDescent="0.2">
      <c r="A4" s="81" t="s">
        <v>2</v>
      </c>
      <c r="B4" s="65"/>
      <c r="C4" s="64" t="str">
        <f>'Stavební rozpočet'!C4</f>
        <v>Objekt 5 - tělovýchova</v>
      </c>
      <c r="D4" s="65"/>
      <c r="E4" s="64" t="s">
        <v>633</v>
      </c>
      <c r="F4" s="64" t="str">
        <f>'Stavební rozpočet'!I4</f>
        <v>Kamila Možná</v>
      </c>
      <c r="G4" s="65"/>
      <c r="H4" s="64" t="s">
        <v>736</v>
      </c>
      <c r="I4" s="118"/>
      <c r="J4" s="30"/>
    </row>
    <row r="5" spans="1:10" x14ac:dyDescent="0.2">
      <c r="A5" s="87"/>
      <c r="B5" s="65"/>
      <c r="C5" s="65"/>
      <c r="D5" s="65"/>
      <c r="E5" s="65"/>
      <c r="F5" s="65"/>
      <c r="G5" s="65"/>
      <c r="H5" s="65"/>
      <c r="I5" s="85"/>
      <c r="J5" s="30"/>
    </row>
    <row r="6" spans="1:10" x14ac:dyDescent="0.2">
      <c r="A6" s="81" t="s">
        <v>3</v>
      </c>
      <c r="B6" s="65"/>
      <c r="C6" s="64" t="str">
        <f>'Stavební rozpočet'!C6</f>
        <v>Malé Náměstí 2287/3, 350 02 Cheb</v>
      </c>
      <c r="D6" s="65"/>
      <c r="E6" s="64" t="s">
        <v>634</v>
      </c>
      <c r="F6" s="64" t="str">
        <f>'Stavební rozpočet'!I6</f>
        <v>Dle výběrového řízení</v>
      </c>
      <c r="G6" s="65"/>
      <c r="H6" s="64" t="s">
        <v>736</v>
      </c>
      <c r="I6" s="118"/>
      <c r="J6" s="30"/>
    </row>
    <row r="7" spans="1:10" x14ac:dyDescent="0.2">
      <c r="A7" s="87"/>
      <c r="B7" s="65"/>
      <c r="C7" s="65"/>
      <c r="D7" s="65"/>
      <c r="E7" s="65"/>
      <c r="F7" s="65"/>
      <c r="G7" s="65"/>
      <c r="H7" s="65"/>
      <c r="I7" s="85"/>
      <c r="J7" s="30"/>
    </row>
    <row r="8" spans="1:10" x14ac:dyDescent="0.2">
      <c r="A8" s="81" t="s">
        <v>620</v>
      </c>
      <c r="B8" s="65"/>
      <c r="C8" s="64" t="str">
        <f>'Stavební rozpočet'!F4</f>
        <v xml:space="preserve"> </v>
      </c>
      <c r="D8" s="65"/>
      <c r="E8" s="64" t="s">
        <v>621</v>
      </c>
      <c r="F8" s="64" t="str">
        <f>'Stavební rozpočet'!F6</f>
        <v xml:space="preserve"> </v>
      </c>
      <c r="G8" s="65"/>
      <c r="H8" s="84" t="s">
        <v>737</v>
      </c>
      <c r="I8" s="118" t="s">
        <v>132</v>
      </c>
      <c r="J8" s="30"/>
    </row>
    <row r="9" spans="1:10" x14ac:dyDescent="0.2">
      <c r="A9" s="87"/>
      <c r="B9" s="65"/>
      <c r="C9" s="65"/>
      <c r="D9" s="65"/>
      <c r="E9" s="65"/>
      <c r="F9" s="65"/>
      <c r="G9" s="65"/>
      <c r="H9" s="65"/>
      <c r="I9" s="85"/>
      <c r="J9" s="30"/>
    </row>
    <row r="10" spans="1:10" x14ac:dyDescent="0.2">
      <c r="A10" s="81" t="s">
        <v>4</v>
      </c>
      <c r="B10" s="65"/>
      <c r="C10" s="64" t="str">
        <f>'Stavební rozpočet'!C8</f>
        <v xml:space="preserve"> </v>
      </c>
      <c r="D10" s="65"/>
      <c r="E10" s="64" t="s">
        <v>635</v>
      </c>
      <c r="F10" s="64" t="str">
        <f>'Stavební rozpočet'!I8</f>
        <v>Kamila Možná</v>
      </c>
      <c r="G10" s="65"/>
      <c r="H10" s="84" t="s">
        <v>738</v>
      </c>
      <c r="I10" s="116" t="str">
        <f>'Stavební rozpočet'!F8</f>
        <v>15.10.2019</v>
      </c>
      <c r="J10" s="30"/>
    </row>
    <row r="11" spans="1:10" x14ac:dyDescent="0.2">
      <c r="A11" s="119"/>
      <c r="B11" s="120"/>
      <c r="C11" s="120"/>
      <c r="D11" s="120"/>
      <c r="E11" s="120"/>
      <c r="F11" s="120"/>
      <c r="G11" s="120"/>
      <c r="H11" s="120"/>
      <c r="I11" s="117"/>
      <c r="J11" s="30"/>
    </row>
    <row r="12" spans="1:10" ht="23.45" customHeight="1" x14ac:dyDescent="0.2">
      <c r="A12" s="112" t="s">
        <v>696</v>
      </c>
      <c r="B12" s="113"/>
      <c r="C12" s="113"/>
      <c r="D12" s="113"/>
      <c r="E12" s="113"/>
      <c r="F12" s="113"/>
      <c r="G12" s="113"/>
      <c r="H12" s="113"/>
      <c r="I12" s="113"/>
    </row>
    <row r="13" spans="1:10" ht="26.45" customHeight="1" x14ac:dyDescent="0.2">
      <c r="A13" s="37" t="s">
        <v>697</v>
      </c>
      <c r="B13" s="114" t="s">
        <v>709</v>
      </c>
      <c r="C13" s="115"/>
      <c r="D13" s="37" t="s">
        <v>712</v>
      </c>
      <c r="E13" s="114" t="s">
        <v>721</v>
      </c>
      <c r="F13" s="115"/>
      <c r="G13" s="37" t="s">
        <v>722</v>
      </c>
      <c r="H13" s="114" t="s">
        <v>739</v>
      </c>
      <c r="I13" s="115"/>
      <c r="J13" s="30"/>
    </row>
    <row r="14" spans="1:10" ht="15.2" customHeight="1" x14ac:dyDescent="0.2">
      <c r="A14" s="38" t="s">
        <v>698</v>
      </c>
      <c r="B14" s="42" t="s">
        <v>710</v>
      </c>
      <c r="C14" s="46">
        <f>SUM('Stavební rozpočet'!AB12:AB380)</f>
        <v>0</v>
      </c>
      <c r="D14" s="110" t="s">
        <v>713</v>
      </c>
      <c r="E14" s="111"/>
      <c r="F14" s="46">
        <v>0</v>
      </c>
      <c r="G14" s="110" t="s">
        <v>723</v>
      </c>
      <c r="H14" s="111"/>
      <c r="I14" s="46">
        <v>0</v>
      </c>
      <c r="J14" s="30"/>
    </row>
    <row r="15" spans="1:10" ht="15.2" customHeight="1" x14ac:dyDescent="0.2">
      <c r="A15" s="39"/>
      <c r="B15" s="42" t="s">
        <v>644</v>
      </c>
      <c r="C15" s="46">
        <f>SUM('Stavební rozpočet'!AC12:AC380)</f>
        <v>0</v>
      </c>
      <c r="D15" s="110" t="s">
        <v>714</v>
      </c>
      <c r="E15" s="111"/>
      <c r="F15" s="46">
        <v>0</v>
      </c>
      <c r="G15" s="110" t="s">
        <v>724</v>
      </c>
      <c r="H15" s="111"/>
      <c r="I15" s="46">
        <v>0</v>
      </c>
      <c r="J15" s="30"/>
    </row>
    <row r="16" spans="1:10" ht="15.2" customHeight="1" x14ac:dyDescent="0.2">
      <c r="A16" s="38" t="s">
        <v>699</v>
      </c>
      <c r="B16" s="42" t="s">
        <v>710</v>
      </c>
      <c r="C16" s="46">
        <f>SUM('Stavební rozpočet'!AD12:AD380)</f>
        <v>0</v>
      </c>
      <c r="D16" s="110" t="s">
        <v>715</v>
      </c>
      <c r="E16" s="111"/>
      <c r="F16" s="46">
        <v>0</v>
      </c>
      <c r="G16" s="110" t="s">
        <v>725</v>
      </c>
      <c r="H16" s="111"/>
      <c r="I16" s="46">
        <v>0</v>
      </c>
      <c r="J16" s="30"/>
    </row>
    <row r="17" spans="1:10" ht="15.2" customHeight="1" x14ac:dyDescent="0.2">
      <c r="A17" s="39"/>
      <c r="B17" s="42" t="s">
        <v>644</v>
      </c>
      <c r="C17" s="46">
        <f>SUM('Stavební rozpočet'!AE12:AE380)</f>
        <v>0</v>
      </c>
      <c r="D17" s="110"/>
      <c r="E17" s="111"/>
      <c r="F17" s="47"/>
      <c r="G17" s="110" t="s">
        <v>726</v>
      </c>
      <c r="H17" s="111"/>
      <c r="I17" s="46">
        <v>0</v>
      </c>
      <c r="J17" s="30"/>
    </row>
    <row r="18" spans="1:10" ht="15.2" customHeight="1" x14ac:dyDescent="0.2">
      <c r="A18" s="38" t="s">
        <v>700</v>
      </c>
      <c r="B18" s="42" t="s">
        <v>710</v>
      </c>
      <c r="C18" s="46">
        <f>SUM('Stavební rozpočet'!AF12:AF380)</f>
        <v>0</v>
      </c>
      <c r="D18" s="110"/>
      <c r="E18" s="111"/>
      <c r="F18" s="47"/>
      <c r="G18" s="110" t="s">
        <v>727</v>
      </c>
      <c r="H18" s="111"/>
      <c r="I18" s="46">
        <v>0</v>
      </c>
      <c r="J18" s="30"/>
    </row>
    <row r="19" spans="1:10" ht="15.2" customHeight="1" x14ac:dyDescent="0.2">
      <c r="A19" s="39"/>
      <c r="B19" s="42" t="s">
        <v>644</v>
      </c>
      <c r="C19" s="46">
        <f>SUM('Stavební rozpočet'!AG12:AG380)</f>
        <v>0</v>
      </c>
      <c r="D19" s="110"/>
      <c r="E19" s="111"/>
      <c r="F19" s="47"/>
      <c r="G19" s="110" t="s">
        <v>728</v>
      </c>
      <c r="H19" s="111"/>
      <c r="I19" s="46">
        <v>0</v>
      </c>
      <c r="J19" s="30"/>
    </row>
    <row r="20" spans="1:10" ht="15.2" customHeight="1" x14ac:dyDescent="0.2">
      <c r="A20" s="108" t="s">
        <v>701</v>
      </c>
      <c r="B20" s="109"/>
      <c r="C20" s="46">
        <f>SUM('Stavební rozpočet'!AH12:AH380)</f>
        <v>0</v>
      </c>
      <c r="D20" s="110"/>
      <c r="E20" s="111"/>
      <c r="F20" s="47"/>
      <c r="G20" s="110"/>
      <c r="H20" s="111"/>
      <c r="I20" s="47"/>
      <c r="J20" s="30"/>
    </row>
    <row r="21" spans="1:10" ht="15.2" customHeight="1" x14ac:dyDescent="0.2">
      <c r="A21" s="108" t="s">
        <v>702</v>
      </c>
      <c r="B21" s="109"/>
      <c r="C21" s="46">
        <f>SUM('Stavební rozpočet'!Z12:Z380)</f>
        <v>0</v>
      </c>
      <c r="D21" s="110"/>
      <c r="E21" s="111"/>
      <c r="F21" s="47"/>
      <c r="G21" s="110"/>
      <c r="H21" s="111"/>
      <c r="I21" s="47"/>
      <c r="J21" s="30"/>
    </row>
    <row r="22" spans="1:10" ht="16.7" customHeight="1" x14ac:dyDescent="0.2">
      <c r="A22" s="108" t="s">
        <v>703</v>
      </c>
      <c r="B22" s="109"/>
      <c r="C22" s="46">
        <f>SUM(C14:C21)</f>
        <v>0</v>
      </c>
      <c r="D22" s="108" t="s">
        <v>716</v>
      </c>
      <c r="E22" s="109"/>
      <c r="F22" s="46">
        <f>SUM(F14:F21)</f>
        <v>0</v>
      </c>
      <c r="G22" s="108" t="s">
        <v>729</v>
      </c>
      <c r="H22" s="109"/>
      <c r="I22" s="46">
        <f>SUM(I14:I21)</f>
        <v>0</v>
      </c>
      <c r="J22" s="30"/>
    </row>
    <row r="23" spans="1:10" ht="15.2" customHeight="1" x14ac:dyDescent="0.2">
      <c r="A23" s="8"/>
      <c r="B23" s="8"/>
      <c r="C23" s="44"/>
      <c r="D23" s="108" t="s">
        <v>717</v>
      </c>
      <c r="E23" s="109"/>
      <c r="F23" s="48">
        <v>0</v>
      </c>
      <c r="G23" s="108" t="s">
        <v>730</v>
      </c>
      <c r="H23" s="109"/>
      <c r="I23" s="46">
        <v>0</v>
      </c>
      <c r="J23" s="30"/>
    </row>
    <row r="24" spans="1:10" ht="15.2" customHeight="1" x14ac:dyDescent="0.2">
      <c r="D24" s="8"/>
      <c r="E24" s="8"/>
      <c r="F24" s="49"/>
      <c r="G24" s="108" t="s">
        <v>731</v>
      </c>
      <c r="H24" s="109"/>
      <c r="I24" s="51"/>
    </row>
    <row r="25" spans="1:10" ht="15.2" customHeight="1" x14ac:dyDescent="0.2">
      <c r="F25" s="50"/>
      <c r="G25" s="108" t="s">
        <v>732</v>
      </c>
      <c r="H25" s="109"/>
      <c r="I25" s="46">
        <v>0</v>
      </c>
      <c r="J25" s="30"/>
    </row>
    <row r="26" spans="1:10" x14ac:dyDescent="0.2">
      <c r="A26" s="7"/>
      <c r="B26" s="7"/>
      <c r="C26" s="7"/>
      <c r="G26" s="8"/>
      <c r="H26" s="8"/>
      <c r="I26" s="8"/>
    </row>
    <row r="27" spans="1:10" ht="15.2" customHeight="1" x14ac:dyDescent="0.2">
      <c r="A27" s="103" t="s">
        <v>704</v>
      </c>
      <c r="B27" s="104"/>
      <c r="C27" s="52">
        <f>SUM('Stavební rozpočet'!AJ12:AJ380)</f>
        <v>0</v>
      </c>
      <c r="D27" s="45"/>
      <c r="E27" s="7"/>
      <c r="F27" s="7"/>
      <c r="G27" s="7"/>
      <c r="H27" s="7"/>
      <c r="I27" s="7"/>
    </row>
    <row r="28" spans="1:10" ht="15.2" customHeight="1" x14ac:dyDescent="0.2">
      <c r="A28" s="103" t="s">
        <v>705</v>
      </c>
      <c r="B28" s="104"/>
      <c r="C28" s="52">
        <f>SUM('Stavební rozpočet'!AK12:AK380)</f>
        <v>0</v>
      </c>
      <c r="D28" s="103" t="s">
        <v>718</v>
      </c>
      <c r="E28" s="104"/>
      <c r="F28" s="52">
        <f>ROUND(C28*(15/100),2)</f>
        <v>0</v>
      </c>
      <c r="G28" s="103" t="s">
        <v>733</v>
      </c>
      <c r="H28" s="104"/>
      <c r="I28" s="52">
        <f>SUM(C27:C29)</f>
        <v>0</v>
      </c>
      <c r="J28" s="30"/>
    </row>
    <row r="29" spans="1:10" ht="15.2" customHeight="1" x14ac:dyDescent="0.2">
      <c r="A29" s="103" t="s">
        <v>706</v>
      </c>
      <c r="B29" s="104"/>
      <c r="C29" s="52">
        <f>SUM('Stavební rozpočet'!AL12:AL380)+(F22+I22+F23+I23+I24+I25)</f>
        <v>0</v>
      </c>
      <c r="D29" s="103" t="s">
        <v>719</v>
      </c>
      <c r="E29" s="104"/>
      <c r="F29" s="52">
        <f>ROUND(C29*(21/100),2)</f>
        <v>0</v>
      </c>
      <c r="G29" s="103" t="s">
        <v>734</v>
      </c>
      <c r="H29" s="104"/>
      <c r="I29" s="52">
        <f>SUM(F28:F29)+I28</f>
        <v>0</v>
      </c>
      <c r="J29" s="30"/>
    </row>
    <row r="30" spans="1:10" x14ac:dyDescent="0.2">
      <c r="A30" s="40"/>
      <c r="B30" s="40"/>
      <c r="C30" s="40"/>
      <c r="D30" s="40"/>
      <c r="E30" s="40"/>
      <c r="F30" s="40"/>
      <c r="G30" s="40"/>
      <c r="H30" s="40"/>
      <c r="I30" s="40"/>
    </row>
    <row r="31" spans="1:10" ht="14.45" customHeight="1" x14ac:dyDescent="0.2">
      <c r="A31" s="105" t="s">
        <v>707</v>
      </c>
      <c r="B31" s="106"/>
      <c r="C31" s="107"/>
      <c r="D31" s="105" t="s">
        <v>720</v>
      </c>
      <c r="E31" s="106"/>
      <c r="F31" s="107"/>
      <c r="G31" s="105" t="s">
        <v>735</v>
      </c>
      <c r="H31" s="106"/>
      <c r="I31" s="107"/>
      <c r="J31" s="31"/>
    </row>
    <row r="32" spans="1:10" ht="14.45" customHeight="1" x14ac:dyDescent="0.2">
      <c r="A32" s="97"/>
      <c r="B32" s="98"/>
      <c r="C32" s="99"/>
      <c r="D32" s="97"/>
      <c r="E32" s="98"/>
      <c r="F32" s="99"/>
      <c r="G32" s="97"/>
      <c r="H32" s="98"/>
      <c r="I32" s="99"/>
      <c r="J32" s="31"/>
    </row>
    <row r="33" spans="1:10" ht="14.45" customHeight="1" x14ac:dyDescent="0.2">
      <c r="A33" s="97"/>
      <c r="B33" s="98"/>
      <c r="C33" s="99"/>
      <c r="D33" s="97"/>
      <c r="E33" s="98"/>
      <c r="F33" s="99"/>
      <c r="G33" s="97"/>
      <c r="H33" s="98"/>
      <c r="I33" s="99"/>
      <c r="J33" s="31"/>
    </row>
    <row r="34" spans="1:10" ht="14.45" customHeight="1" x14ac:dyDescent="0.2">
      <c r="A34" s="97"/>
      <c r="B34" s="98"/>
      <c r="C34" s="99"/>
      <c r="D34" s="97"/>
      <c r="E34" s="98"/>
      <c r="F34" s="99"/>
      <c r="G34" s="97"/>
      <c r="H34" s="98"/>
      <c r="I34" s="99"/>
      <c r="J34" s="31"/>
    </row>
    <row r="35" spans="1:10" ht="14.45" customHeight="1" x14ac:dyDescent="0.2">
      <c r="A35" s="100" t="s">
        <v>708</v>
      </c>
      <c r="B35" s="101"/>
      <c r="C35" s="102"/>
      <c r="D35" s="100" t="s">
        <v>708</v>
      </c>
      <c r="E35" s="101"/>
      <c r="F35" s="102"/>
      <c r="G35" s="100" t="s">
        <v>708</v>
      </c>
      <c r="H35" s="101"/>
      <c r="I35" s="102"/>
      <c r="J35" s="31"/>
    </row>
    <row r="36" spans="1:10" ht="11.25" customHeight="1" x14ac:dyDescent="0.2">
      <c r="A36" s="41" t="s">
        <v>133</v>
      </c>
      <c r="B36" s="43"/>
      <c r="C36" s="43"/>
      <c r="D36" s="43"/>
      <c r="E36" s="43"/>
      <c r="F36" s="43"/>
      <c r="G36" s="43"/>
      <c r="H36" s="43"/>
      <c r="I36" s="43"/>
    </row>
    <row r="37" spans="1:10" x14ac:dyDescent="0.2">
      <c r="A37" s="64"/>
      <c r="B37" s="65"/>
      <c r="C37" s="65"/>
      <c r="D37" s="65"/>
      <c r="E37" s="65"/>
      <c r="F37" s="65"/>
      <c r="G37" s="65"/>
      <c r="H37" s="65"/>
      <c r="I37" s="65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Pospíšil Zdeněk</cp:lastModifiedBy>
  <dcterms:created xsi:type="dcterms:W3CDTF">2020-10-06T07:21:02Z</dcterms:created>
  <dcterms:modified xsi:type="dcterms:W3CDTF">2020-10-15T07:01:36Z</dcterms:modified>
</cp:coreProperties>
</file>