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stavební\"/>
    </mc:Choice>
  </mc:AlternateContent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62913"/>
</workbook>
</file>

<file path=xl/calcChain.xml><?xml version="1.0" encoding="utf-8"?>
<calcChain xmlns="http://schemas.openxmlformats.org/spreadsheetml/2006/main">
  <c r="BJ36" i="1" l="1"/>
  <c r="BF36" i="1"/>
  <c r="BD36" i="1"/>
  <c r="AP36" i="1"/>
  <c r="BI36" i="1" s="1"/>
  <c r="AC36" i="1" s="1"/>
  <c r="AO36" i="1"/>
  <c r="I36" i="1" s="1"/>
  <c r="I35" i="1" s="1"/>
  <c r="AK36" i="1"/>
  <c r="AT35" i="1" s="1"/>
  <c r="AJ36" i="1"/>
  <c r="AH36" i="1"/>
  <c r="AG36" i="1"/>
  <c r="AF36" i="1"/>
  <c r="AE36" i="1"/>
  <c r="AD36" i="1"/>
  <c r="Z36" i="1"/>
  <c r="K36" i="1"/>
  <c r="K35" i="1" s="1"/>
  <c r="K525" i="1" s="1"/>
  <c r="AS35" i="1"/>
  <c r="J36" i="1" l="1"/>
  <c r="J35" i="1" s="1"/>
  <c r="AX36" i="1"/>
  <c r="AL36" i="1"/>
  <c r="AU35" i="1" s="1"/>
  <c r="AW36" i="1"/>
  <c r="BH36" i="1"/>
  <c r="AB36" i="1" s="1"/>
  <c r="AV36" i="1" l="1"/>
  <c r="BC36" i="1"/>
  <c r="C2" i="2" l="1"/>
  <c r="F2" i="2"/>
  <c r="C4" i="2"/>
  <c r="F4" i="2"/>
  <c r="C6" i="2"/>
  <c r="F6" i="2"/>
  <c r="C8" i="2"/>
  <c r="F8" i="2"/>
  <c r="C10" i="2"/>
  <c r="F10" i="2"/>
  <c r="I10" i="2"/>
  <c r="F22" i="2"/>
  <c r="I22" i="2"/>
  <c r="AS12" i="1"/>
  <c r="J13" i="1"/>
  <c r="J12" i="1" s="1"/>
  <c r="K13" i="1"/>
  <c r="K12" i="1" s="1"/>
  <c r="Z13" i="1"/>
  <c r="AC13" i="1"/>
  <c r="AD13" i="1"/>
  <c r="AE13" i="1"/>
  <c r="AF13" i="1"/>
  <c r="AG13" i="1"/>
  <c r="AH13" i="1"/>
  <c r="AJ13" i="1"/>
  <c r="AK13" i="1"/>
  <c r="AT12" i="1" s="1"/>
  <c r="AL13" i="1"/>
  <c r="AU12" i="1" s="1"/>
  <c r="AO13" i="1"/>
  <c r="I13" i="1" s="1"/>
  <c r="I12" i="1" s="1"/>
  <c r="AP13" i="1"/>
  <c r="AX13" i="1" s="1"/>
  <c r="AW13" i="1"/>
  <c r="BD13" i="1"/>
  <c r="BF13" i="1"/>
  <c r="BH13" i="1"/>
  <c r="AB13" i="1" s="1"/>
  <c r="BI13" i="1"/>
  <c r="BJ13" i="1"/>
  <c r="AS15" i="1"/>
  <c r="AT15" i="1"/>
  <c r="J16" i="1"/>
  <c r="J15" i="1" s="1"/>
  <c r="K16" i="1"/>
  <c r="Z16" i="1"/>
  <c r="AC16" i="1"/>
  <c r="AD16" i="1"/>
  <c r="AE16" i="1"/>
  <c r="AF16" i="1"/>
  <c r="AG16" i="1"/>
  <c r="AH16" i="1"/>
  <c r="AJ16" i="1"/>
  <c r="AK16" i="1"/>
  <c r="AO16" i="1"/>
  <c r="AP16" i="1"/>
  <c r="AX16" i="1"/>
  <c r="BD16" i="1"/>
  <c r="BF16" i="1"/>
  <c r="BI16" i="1"/>
  <c r="BJ16" i="1"/>
  <c r="K19" i="1"/>
  <c r="Z19" i="1"/>
  <c r="AD19" i="1"/>
  <c r="AE19" i="1"/>
  <c r="AF19" i="1"/>
  <c r="AG19" i="1"/>
  <c r="AH19" i="1"/>
  <c r="AJ19" i="1"/>
  <c r="AS18" i="1" s="1"/>
  <c r="AK19" i="1"/>
  <c r="AL19" i="1"/>
  <c r="AO19" i="1"/>
  <c r="I19" i="1" s="1"/>
  <c r="AP19" i="1"/>
  <c r="BI19" i="1" s="1"/>
  <c r="AC19" i="1" s="1"/>
  <c r="AW19" i="1"/>
  <c r="BD19" i="1"/>
  <c r="BF19" i="1"/>
  <c r="BH19" i="1"/>
  <c r="AB19" i="1" s="1"/>
  <c r="BJ19" i="1"/>
  <c r="J22" i="1"/>
  <c r="K22" i="1"/>
  <c r="AL22" i="1" s="1"/>
  <c r="AU18" i="1" s="1"/>
  <c r="Z22" i="1"/>
  <c r="AC22" i="1"/>
  <c r="AD22" i="1"/>
  <c r="AE22" i="1"/>
  <c r="AF22" i="1"/>
  <c r="AG22" i="1"/>
  <c r="AH22" i="1"/>
  <c r="AJ22" i="1"/>
  <c r="AK22" i="1"/>
  <c r="AT18" i="1" s="1"/>
  <c r="AO22" i="1"/>
  <c r="AP22" i="1"/>
  <c r="AX22" i="1"/>
  <c r="BD22" i="1"/>
  <c r="BF22" i="1"/>
  <c r="BI22" i="1"/>
  <c r="BJ22" i="1"/>
  <c r="K25" i="1"/>
  <c r="Z25" i="1"/>
  <c r="AD25" i="1"/>
  <c r="AE25" i="1"/>
  <c r="AF25" i="1"/>
  <c r="AG25" i="1"/>
  <c r="AH25" i="1"/>
  <c r="AJ25" i="1"/>
  <c r="AS24" i="1" s="1"/>
  <c r="AK25" i="1"/>
  <c r="AL25" i="1"/>
  <c r="AO25" i="1"/>
  <c r="I25" i="1" s="1"/>
  <c r="AP25" i="1"/>
  <c r="BI25" i="1" s="1"/>
  <c r="AC25" i="1" s="1"/>
  <c r="AW25" i="1"/>
  <c r="BD25" i="1"/>
  <c r="BF25" i="1"/>
  <c r="BH25" i="1"/>
  <c r="AB25" i="1" s="1"/>
  <c r="BJ25" i="1"/>
  <c r="J28" i="1"/>
  <c r="K28" i="1"/>
  <c r="AL28" i="1" s="1"/>
  <c r="AU24" i="1" s="1"/>
  <c r="Z28" i="1"/>
  <c r="AC28" i="1"/>
  <c r="AD28" i="1"/>
  <c r="AE28" i="1"/>
  <c r="AF28" i="1"/>
  <c r="AG28" i="1"/>
  <c r="AH28" i="1"/>
  <c r="AJ28" i="1"/>
  <c r="AK28" i="1"/>
  <c r="AT24" i="1" s="1"/>
  <c r="AO28" i="1"/>
  <c r="AP28" i="1"/>
  <c r="AX28" i="1"/>
  <c r="BD28" i="1"/>
  <c r="BF28" i="1"/>
  <c r="BI28" i="1"/>
  <c r="BJ28" i="1"/>
  <c r="I30" i="1"/>
  <c r="J30" i="1"/>
  <c r="K30" i="1"/>
  <c r="Z30" i="1"/>
  <c r="AB30" i="1"/>
  <c r="AC30" i="1"/>
  <c r="AD30" i="1"/>
  <c r="AE30" i="1"/>
  <c r="AF30" i="1"/>
  <c r="AG30" i="1"/>
  <c r="AH30" i="1"/>
  <c r="AJ30" i="1"/>
  <c r="AK30" i="1"/>
  <c r="AL30" i="1"/>
  <c r="AO30" i="1"/>
  <c r="AP30" i="1"/>
  <c r="AX30" i="1" s="1"/>
  <c r="AW30" i="1"/>
  <c r="BD30" i="1"/>
  <c r="BF30" i="1"/>
  <c r="BH30" i="1"/>
  <c r="BI30" i="1"/>
  <c r="BJ30" i="1"/>
  <c r="K33" i="1"/>
  <c r="Z33" i="1"/>
  <c r="AD33" i="1"/>
  <c r="AE33" i="1"/>
  <c r="AF33" i="1"/>
  <c r="AG33" i="1"/>
  <c r="AH33" i="1"/>
  <c r="AJ33" i="1"/>
  <c r="AS32" i="1" s="1"/>
  <c r="AK33" i="1"/>
  <c r="AT32" i="1" s="1"/>
  <c r="AO33" i="1"/>
  <c r="AP33" i="1"/>
  <c r="J33" i="1" s="1"/>
  <c r="J32" i="1" s="1"/>
  <c r="BD33" i="1"/>
  <c r="BF33" i="1"/>
  <c r="BI33" i="1"/>
  <c r="AC33" i="1" s="1"/>
  <c r="BJ33" i="1"/>
  <c r="AT37" i="1"/>
  <c r="AU37" i="1"/>
  <c r="K38" i="1"/>
  <c r="K37" i="1" s="1"/>
  <c r="Z38" i="1"/>
  <c r="AD38" i="1"/>
  <c r="AE38" i="1"/>
  <c r="AF38" i="1"/>
  <c r="AG38" i="1"/>
  <c r="AH38" i="1"/>
  <c r="AJ38" i="1"/>
  <c r="AS37" i="1" s="1"/>
  <c r="AK38" i="1"/>
  <c r="AL38" i="1"/>
  <c r="AO38" i="1"/>
  <c r="I38" i="1" s="1"/>
  <c r="I37" i="1" s="1"/>
  <c r="AP38" i="1"/>
  <c r="AW38" i="1"/>
  <c r="BD38" i="1"/>
  <c r="BF38" i="1"/>
  <c r="BH38" i="1"/>
  <c r="AB38" i="1" s="1"/>
  <c r="BI38" i="1"/>
  <c r="AC38" i="1" s="1"/>
  <c r="BJ38" i="1"/>
  <c r="K40" i="1"/>
  <c r="I41" i="1"/>
  <c r="K41" i="1"/>
  <c r="AL41" i="1" s="1"/>
  <c r="AU40" i="1" s="1"/>
  <c r="Z41" i="1"/>
  <c r="AB41" i="1"/>
  <c r="AD41" i="1"/>
  <c r="AE41" i="1"/>
  <c r="AF41" i="1"/>
  <c r="AG41" i="1"/>
  <c r="AH41" i="1"/>
  <c r="AJ41" i="1"/>
  <c r="AS40" i="1" s="1"/>
  <c r="AK41" i="1"/>
  <c r="AT40" i="1" s="1"/>
  <c r="AO41" i="1"/>
  <c r="AW41" i="1" s="1"/>
  <c r="BC41" i="1" s="1"/>
  <c r="AP41" i="1"/>
  <c r="J41" i="1" s="1"/>
  <c r="AV41" i="1"/>
  <c r="AX41" i="1"/>
  <c r="BD41" i="1"/>
  <c r="BF41" i="1"/>
  <c r="BH41" i="1"/>
  <c r="BI41" i="1"/>
  <c r="AC41" i="1" s="1"/>
  <c r="BJ41" i="1"/>
  <c r="K48" i="1"/>
  <c r="Z48" i="1"/>
  <c r="AD48" i="1"/>
  <c r="AE48" i="1"/>
  <c r="AF48" i="1"/>
  <c r="AG48" i="1"/>
  <c r="AH48" i="1"/>
  <c r="AJ48" i="1"/>
  <c r="AK48" i="1"/>
  <c r="AL48" i="1"/>
  <c r="AO48" i="1"/>
  <c r="I48" i="1" s="1"/>
  <c r="AP48" i="1"/>
  <c r="AW48" i="1"/>
  <c r="BD48" i="1"/>
  <c r="BF48" i="1"/>
  <c r="BH48" i="1"/>
  <c r="AB48" i="1" s="1"/>
  <c r="BI48" i="1"/>
  <c r="AC48" i="1" s="1"/>
  <c r="BJ48" i="1"/>
  <c r="J52" i="1"/>
  <c r="K52" i="1"/>
  <c r="AL52" i="1" s="1"/>
  <c r="Z52" i="1"/>
  <c r="AC52" i="1"/>
  <c r="AD52" i="1"/>
  <c r="AE52" i="1"/>
  <c r="AF52" i="1"/>
  <c r="AG52" i="1"/>
  <c r="AH52" i="1"/>
  <c r="AJ52" i="1"/>
  <c r="AK52" i="1"/>
  <c r="AO52" i="1"/>
  <c r="AP52" i="1"/>
  <c r="AX52" i="1"/>
  <c r="BD52" i="1"/>
  <c r="BF52" i="1"/>
  <c r="BH52" i="1"/>
  <c r="AB52" i="1" s="1"/>
  <c r="BI52" i="1"/>
  <c r="BJ52" i="1"/>
  <c r="AT54" i="1"/>
  <c r="AU54" i="1"/>
  <c r="K55" i="1"/>
  <c r="K54" i="1" s="1"/>
  <c r="Z55" i="1"/>
  <c r="AD55" i="1"/>
  <c r="AE55" i="1"/>
  <c r="AF55" i="1"/>
  <c r="AG55" i="1"/>
  <c r="AH55" i="1"/>
  <c r="AJ55" i="1"/>
  <c r="AS54" i="1" s="1"/>
  <c r="AK55" i="1"/>
  <c r="AL55" i="1"/>
  <c r="AO55" i="1"/>
  <c r="I55" i="1" s="1"/>
  <c r="I54" i="1" s="1"/>
  <c r="AP55" i="1"/>
  <c r="AW55" i="1"/>
  <c r="BD55" i="1"/>
  <c r="BF55" i="1"/>
  <c r="BH55" i="1"/>
  <c r="AB55" i="1" s="1"/>
  <c r="BI55" i="1"/>
  <c r="AC55" i="1" s="1"/>
  <c r="BJ55" i="1"/>
  <c r="K57" i="1"/>
  <c r="I58" i="1"/>
  <c r="I57" i="1" s="1"/>
  <c r="K58" i="1"/>
  <c r="AL58" i="1" s="1"/>
  <c r="AU57" i="1" s="1"/>
  <c r="Z58" i="1"/>
  <c r="AB58" i="1"/>
  <c r="AD58" i="1"/>
  <c r="AE58" i="1"/>
  <c r="AF58" i="1"/>
  <c r="AG58" i="1"/>
  <c r="AH58" i="1"/>
  <c r="AJ58" i="1"/>
  <c r="AS57" i="1" s="1"/>
  <c r="AK58" i="1"/>
  <c r="AT57" i="1" s="1"/>
  <c r="AO58" i="1"/>
  <c r="AW58" i="1" s="1"/>
  <c r="BC58" i="1" s="1"/>
  <c r="AP58" i="1"/>
  <c r="J58" i="1" s="1"/>
  <c r="AV58" i="1"/>
  <c r="AX58" i="1"/>
  <c r="BD58" i="1"/>
  <c r="BF58" i="1"/>
  <c r="BH58" i="1"/>
  <c r="BI58" i="1"/>
  <c r="AC58" i="1" s="1"/>
  <c r="BJ58" i="1"/>
  <c r="K60" i="1"/>
  <c r="Z60" i="1"/>
  <c r="AD60" i="1"/>
  <c r="AE60" i="1"/>
  <c r="AF60" i="1"/>
  <c r="AG60" i="1"/>
  <c r="AH60" i="1"/>
  <c r="AJ60" i="1"/>
  <c r="AK60" i="1"/>
  <c r="AL60" i="1"/>
  <c r="AO60" i="1"/>
  <c r="I60" i="1" s="1"/>
  <c r="AP60" i="1"/>
  <c r="AW60" i="1"/>
  <c r="BD60" i="1"/>
  <c r="BF60" i="1"/>
  <c r="BH60" i="1"/>
  <c r="AB60" i="1" s="1"/>
  <c r="BI60" i="1"/>
  <c r="AC60" i="1" s="1"/>
  <c r="BJ60" i="1"/>
  <c r="I63" i="1"/>
  <c r="K63" i="1"/>
  <c r="AL63" i="1" s="1"/>
  <c r="Z63" i="1"/>
  <c r="AB63" i="1"/>
  <c r="AD63" i="1"/>
  <c r="AE63" i="1"/>
  <c r="AF63" i="1"/>
  <c r="AG63" i="1"/>
  <c r="AH63" i="1"/>
  <c r="AJ63" i="1"/>
  <c r="AK63" i="1"/>
  <c r="AO63" i="1"/>
  <c r="AW63" i="1" s="1"/>
  <c r="BC63" i="1" s="1"/>
  <c r="AP63" i="1"/>
  <c r="J63" i="1" s="1"/>
  <c r="AV63" i="1"/>
  <c r="AX63" i="1"/>
  <c r="BD63" i="1"/>
  <c r="BF63" i="1"/>
  <c r="BH63" i="1"/>
  <c r="BI63" i="1"/>
  <c r="AC63" i="1" s="1"/>
  <c r="BJ63" i="1"/>
  <c r="K65" i="1"/>
  <c r="Z65" i="1"/>
  <c r="AD65" i="1"/>
  <c r="AE65" i="1"/>
  <c r="AF65" i="1"/>
  <c r="AG65" i="1"/>
  <c r="AH65" i="1"/>
  <c r="AJ65" i="1"/>
  <c r="AK65" i="1"/>
  <c r="AL65" i="1"/>
  <c r="AO65" i="1"/>
  <c r="I65" i="1" s="1"/>
  <c r="AP65" i="1"/>
  <c r="AW65" i="1"/>
  <c r="BD65" i="1"/>
  <c r="BF65" i="1"/>
  <c r="BH65" i="1"/>
  <c r="AB65" i="1" s="1"/>
  <c r="BI65" i="1"/>
  <c r="AC65" i="1" s="1"/>
  <c r="BJ65" i="1"/>
  <c r="J67" i="1"/>
  <c r="K67" i="1"/>
  <c r="Z67" i="1"/>
  <c r="AC67" i="1"/>
  <c r="AD67" i="1"/>
  <c r="AE67" i="1"/>
  <c r="AF67" i="1"/>
  <c r="AG67" i="1"/>
  <c r="AH67" i="1"/>
  <c r="AJ67" i="1"/>
  <c r="AK67" i="1"/>
  <c r="AO67" i="1"/>
  <c r="BH67" i="1" s="1"/>
  <c r="AB67" i="1" s="1"/>
  <c r="AP67" i="1"/>
  <c r="AX67" i="1"/>
  <c r="BD67" i="1"/>
  <c r="BF67" i="1"/>
  <c r="BI67" i="1"/>
  <c r="BJ67" i="1"/>
  <c r="I69" i="1"/>
  <c r="J69" i="1"/>
  <c r="K69" i="1"/>
  <c r="Z69" i="1"/>
  <c r="AB69" i="1"/>
  <c r="AC69" i="1"/>
  <c r="AD69" i="1"/>
  <c r="AE69" i="1"/>
  <c r="AF69" i="1"/>
  <c r="AG69" i="1"/>
  <c r="AH69" i="1"/>
  <c r="AJ69" i="1"/>
  <c r="AK69" i="1"/>
  <c r="AL69" i="1"/>
  <c r="AO69" i="1"/>
  <c r="AP69" i="1"/>
  <c r="AX69" i="1" s="1"/>
  <c r="AW69" i="1"/>
  <c r="BD69" i="1"/>
  <c r="BF69" i="1"/>
  <c r="BH69" i="1"/>
  <c r="BI69" i="1"/>
  <c r="BJ69" i="1"/>
  <c r="I72" i="1"/>
  <c r="K72" i="1"/>
  <c r="AL72" i="1" s="1"/>
  <c r="Z72" i="1"/>
  <c r="AB72" i="1"/>
  <c r="AD72" i="1"/>
  <c r="AE72" i="1"/>
  <c r="AF72" i="1"/>
  <c r="AG72" i="1"/>
  <c r="AH72" i="1"/>
  <c r="AJ72" i="1"/>
  <c r="AK72" i="1"/>
  <c r="AO72" i="1"/>
  <c r="AW72" i="1" s="1"/>
  <c r="BC72" i="1" s="1"/>
  <c r="AP72" i="1"/>
  <c r="J72" i="1" s="1"/>
  <c r="AV72" i="1"/>
  <c r="AX72" i="1"/>
  <c r="BD72" i="1"/>
  <c r="BF72" i="1"/>
  <c r="BH72" i="1"/>
  <c r="BI72" i="1"/>
  <c r="AC72" i="1" s="1"/>
  <c r="BJ72" i="1"/>
  <c r="K82" i="1"/>
  <c r="Z82" i="1"/>
  <c r="AD82" i="1"/>
  <c r="AE82" i="1"/>
  <c r="AF82" i="1"/>
  <c r="AG82" i="1"/>
  <c r="AH82" i="1"/>
  <c r="AJ82" i="1"/>
  <c r="AK82" i="1"/>
  <c r="AL82" i="1"/>
  <c r="AO82" i="1"/>
  <c r="I82" i="1" s="1"/>
  <c r="AP82" i="1"/>
  <c r="AW82" i="1"/>
  <c r="BD82" i="1"/>
  <c r="BF82" i="1"/>
  <c r="BH82" i="1"/>
  <c r="AB82" i="1" s="1"/>
  <c r="BI82" i="1"/>
  <c r="AC82" i="1" s="1"/>
  <c r="BJ82" i="1"/>
  <c r="J89" i="1"/>
  <c r="K89" i="1"/>
  <c r="AL89" i="1" s="1"/>
  <c r="Z89" i="1"/>
  <c r="AC89" i="1"/>
  <c r="AD89" i="1"/>
  <c r="AE89" i="1"/>
  <c r="AF89" i="1"/>
  <c r="AG89" i="1"/>
  <c r="AH89" i="1"/>
  <c r="AJ89" i="1"/>
  <c r="AK89" i="1"/>
  <c r="AO89" i="1"/>
  <c r="AP89" i="1"/>
  <c r="AX89" i="1"/>
  <c r="BD89" i="1"/>
  <c r="BF89" i="1"/>
  <c r="BH89" i="1"/>
  <c r="AB89" i="1" s="1"/>
  <c r="BI89" i="1"/>
  <c r="BJ89" i="1"/>
  <c r="I91" i="1"/>
  <c r="J91" i="1"/>
  <c r="K91" i="1"/>
  <c r="Z91" i="1"/>
  <c r="AB91" i="1"/>
  <c r="AD91" i="1"/>
  <c r="AE91" i="1"/>
  <c r="AF91" i="1"/>
  <c r="AG91" i="1"/>
  <c r="AH91" i="1"/>
  <c r="AJ91" i="1"/>
  <c r="AK91" i="1"/>
  <c r="AL91" i="1"/>
  <c r="AO91" i="1"/>
  <c r="AP91" i="1"/>
  <c r="AX91" i="1" s="1"/>
  <c r="AW91" i="1"/>
  <c r="BC91" i="1"/>
  <c r="BD91" i="1"/>
  <c r="BF91" i="1"/>
  <c r="BH91" i="1"/>
  <c r="BI91" i="1"/>
  <c r="AC91" i="1" s="1"/>
  <c r="BJ91" i="1"/>
  <c r="I93" i="1"/>
  <c r="K93" i="1"/>
  <c r="AL93" i="1" s="1"/>
  <c r="Z93" i="1"/>
  <c r="AD93" i="1"/>
  <c r="AE93" i="1"/>
  <c r="AF93" i="1"/>
  <c r="AG93" i="1"/>
  <c r="AH93" i="1"/>
  <c r="AJ93" i="1"/>
  <c r="AK93" i="1"/>
  <c r="AO93" i="1"/>
  <c r="AW93" i="1" s="1"/>
  <c r="AV93" i="1" s="1"/>
  <c r="AP93" i="1"/>
  <c r="J93" i="1" s="1"/>
  <c r="AX93" i="1"/>
  <c r="BD93" i="1"/>
  <c r="BF93" i="1"/>
  <c r="BI93" i="1"/>
  <c r="AC93" i="1" s="1"/>
  <c r="BJ93" i="1"/>
  <c r="J101" i="1"/>
  <c r="K101" i="1"/>
  <c r="Z101" i="1"/>
  <c r="AD101" i="1"/>
  <c r="AE101" i="1"/>
  <c r="AF101" i="1"/>
  <c r="AG101" i="1"/>
  <c r="AH101" i="1"/>
  <c r="AJ101" i="1"/>
  <c r="AK101" i="1"/>
  <c r="AL101" i="1"/>
  <c r="AO101" i="1"/>
  <c r="I101" i="1" s="1"/>
  <c r="AP101" i="1"/>
  <c r="AX101" i="1" s="1"/>
  <c r="AW101" i="1"/>
  <c r="BD101" i="1"/>
  <c r="BF101" i="1"/>
  <c r="BH101" i="1"/>
  <c r="AB101" i="1" s="1"/>
  <c r="BI101" i="1"/>
  <c r="AC101" i="1" s="1"/>
  <c r="BJ101" i="1"/>
  <c r="J103" i="1"/>
  <c r="K103" i="1"/>
  <c r="AL103" i="1" s="1"/>
  <c r="Z103" i="1"/>
  <c r="AC103" i="1"/>
  <c r="AD103" i="1"/>
  <c r="AE103" i="1"/>
  <c r="AF103" i="1"/>
  <c r="AG103" i="1"/>
  <c r="AH103" i="1"/>
  <c r="AJ103" i="1"/>
  <c r="AK103" i="1"/>
  <c r="AO103" i="1"/>
  <c r="AP103" i="1"/>
  <c r="AX103" i="1"/>
  <c r="BD103" i="1"/>
  <c r="BF103" i="1"/>
  <c r="BI103" i="1"/>
  <c r="BJ103" i="1"/>
  <c r="J106" i="1"/>
  <c r="K106" i="1"/>
  <c r="Z106" i="1"/>
  <c r="AB106" i="1"/>
  <c r="AD106" i="1"/>
  <c r="AE106" i="1"/>
  <c r="AF106" i="1"/>
  <c r="AG106" i="1"/>
  <c r="AH106" i="1"/>
  <c r="AJ106" i="1"/>
  <c r="AK106" i="1"/>
  <c r="AL106" i="1"/>
  <c r="AO106" i="1"/>
  <c r="I106" i="1" s="1"/>
  <c r="AP106" i="1"/>
  <c r="AX106" i="1" s="1"/>
  <c r="AW106" i="1"/>
  <c r="BD106" i="1"/>
  <c r="BF106" i="1"/>
  <c r="BH106" i="1"/>
  <c r="BI106" i="1"/>
  <c r="AC106" i="1" s="1"/>
  <c r="BJ106" i="1"/>
  <c r="K111" i="1"/>
  <c r="AL111" i="1" s="1"/>
  <c r="Z111" i="1"/>
  <c r="AD111" i="1"/>
  <c r="AE111" i="1"/>
  <c r="AF111" i="1"/>
  <c r="AG111" i="1"/>
  <c r="AH111" i="1"/>
  <c r="AJ111" i="1"/>
  <c r="AK111" i="1"/>
  <c r="AO111" i="1"/>
  <c r="AW111" i="1" s="1"/>
  <c r="BC111" i="1" s="1"/>
  <c r="AP111" i="1"/>
  <c r="J111" i="1" s="1"/>
  <c r="AV111" i="1"/>
  <c r="AX111" i="1"/>
  <c r="BD111" i="1"/>
  <c r="BF111" i="1"/>
  <c r="BH111" i="1"/>
  <c r="AB111" i="1" s="1"/>
  <c r="BI111" i="1"/>
  <c r="AC111" i="1" s="1"/>
  <c r="BJ111" i="1"/>
  <c r="K113" i="1"/>
  <c r="Z113" i="1"/>
  <c r="AD113" i="1"/>
  <c r="AE113" i="1"/>
  <c r="AF113" i="1"/>
  <c r="AG113" i="1"/>
  <c r="AH113" i="1"/>
  <c r="AJ113" i="1"/>
  <c r="AK113" i="1"/>
  <c r="AL113" i="1"/>
  <c r="AO113" i="1"/>
  <c r="I113" i="1" s="1"/>
  <c r="AP113" i="1"/>
  <c r="AW113" i="1"/>
  <c r="BD113" i="1"/>
  <c r="BF113" i="1"/>
  <c r="BH113" i="1"/>
  <c r="AB113" i="1" s="1"/>
  <c r="BJ113" i="1"/>
  <c r="I115" i="1"/>
  <c r="K115" i="1"/>
  <c r="AL115" i="1" s="1"/>
  <c r="Z115" i="1"/>
  <c r="AD115" i="1"/>
  <c r="AE115" i="1"/>
  <c r="AF115" i="1"/>
  <c r="AG115" i="1"/>
  <c r="AH115" i="1"/>
  <c r="AJ115" i="1"/>
  <c r="AK115" i="1"/>
  <c r="AO115" i="1"/>
  <c r="AW115" i="1" s="1"/>
  <c r="AP115" i="1"/>
  <c r="J115" i="1" s="1"/>
  <c r="AX115" i="1"/>
  <c r="AV115" i="1" s="1"/>
  <c r="BD115" i="1"/>
  <c r="BF115" i="1"/>
  <c r="BH115" i="1"/>
  <c r="AB115" i="1" s="1"/>
  <c r="BI115" i="1"/>
  <c r="AC115" i="1" s="1"/>
  <c r="BJ115" i="1"/>
  <c r="J121" i="1"/>
  <c r="K121" i="1"/>
  <c r="Z121" i="1"/>
  <c r="AD121" i="1"/>
  <c r="AE121" i="1"/>
  <c r="AF121" i="1"/>
  <c r="AG121" i="1"/>
  <c r="AH121" i="1"/>
  <c r="AJ121" i="1"/>
  <c r="AK121" i="1"/>
  <c r="AL121" i="1"/>
  <c r="AO121" i="1"/>
  <c r="I121" i="1" s="1"/>
  <c r="AP121" i="1"/>
  <c r="AX121" i="1" s="1"/>
  <c r="AW121" i="1"/>
  <c r="AV121" i="1" s="1"/>
  <c r="BD121" i="1"/>
  <c r="BF121" i="1"/>
  <c r="BH121" i="1"/>
  <c r="AB121" i="1" s="1"/>
  <c r="BJ121" i="1"/>
  <c r="K124" i="1"/>
  <c r="AL124" i="1" s="1"/>
  <c r="Z124" i="1"/>
  <c r="AB124" i="1"/>
  <c r="AC124" i="1"/>
  <c r="AD124" i="1"/>
  <c r="AE124" i="1"/>
  <c r="AF124" i="1"/>
  <c r="AG124" i="1"/>
  <c r="AH124" i="1"/>
  <c r="AJ124" i="1"/>
  <c r="AK124" i="1"/>
  <c r="AO124" i="1"/>
  <c r="I124" i="1" s="1"/>
  <c r="AP124" i="1"/>
  <c r="J124" i="1" s="1"/>
  <c r="AX124" i="1"/>
  <c r="BD124" i="1"/>
  <c r="BF124" i="1"/>
  <c r="BH124" i="1"/>
  <c r="BI124" i="1"/>
  <c r="BJ124" i="1"/>
  <c r="I127" i="1"/>
  <c r="K127" i="1"/>
  <c r="Z127" i="1"/>
  <c r="AB127" i="1"/>
  <c r="AD127" i="1"/>
  <c r="AE127" i="1"/>
  <c r="AF127" i="1"/>
  <c r="AG127" i="1"/>
  <c r="AH127" i="1"/>
  <c r="AJ127" i="1"/>
  <c r="AK127" i="1"/>
  <c r="AL127" i="1"/>
  <c r="AO127" i="1"/>
  <c r="AP127" i="1"/>
  <c r="AW127" i="1"/>
  <c r="BD127" i="1"/>
  <c r="BF127" i="1"/>
  <c r="BH127" i="1"/>
  <c r="BJ127" i="1"/>
  <c r="K129" i="1"/>
  <c r="AL129" i="1" s="1"/>
  <c r="Z129" i="1"/>
  <c r="AD129" i="1"/>
  <c r="AE129" i="1"/>
  <c r="AF129" i="1"/>
  <c r="AG129" i="1"/>
  <c r="AH129" i="1"/>
  <c r="AJ129" i="1"/>
  <c r="AK129" i="1"/>
  <c r="AO129" i="1"/>
  <c r="BH129" i="1" s="1"/>
  <c r="AB129" i="1" s="1"/>
  <c r="AP129" i="1"/>
  <c r="J129" i="1" s="1"/>
  <c r="AX129" i="1"/>
  <c r="BD129" i="1"/>
  <c r="BF129" i="1"/>
  <c r="BI129" i="1"/>
  <c r="AC129" i="1" s="1"/>
  <c r="BJ129" i="1"/>
  <c r="J131" i="1"/>
  <c r="K131" i="1"/>
  <c r="Z131" i="1"/>
  <c r="AC131" i="1"/>
  <c r="AD131" i="1"/>
  <c r="AE131" i="1"/>
  <c r="AF131" i="1"/>
  <c r="AG131" i="1"/>
  <c r="AH131" i="1"/>
  <c r="AJ131" i="1"/>
  <c r="AK131" i="1"/>
  <c r="AL131" i="1"/>
  <c r="AO131" i="1"/>
  <c r="I131" i="1" s="1"/>
  <c r="AP131" i="1"/>
  <c r="AX131" i="1" s="1"/>
  <c r="AW131" i="1"/>
  <c r="BD131" i="1"/>
  <c r="BF131" i="1"/>
  <c r="BH131" i="1"/>
  <c r="AB131" i="1" s="1"/>
  <c r="BI131" i="1"/>
  <c r="BJ131" i="1"/>
  <c r="AT133" i="1"/>
  <c r="K134" i="1"/>
  <c r="Z134" i="1"/>
  <c r="AD134" i="1"/>
  <c r="AE134" i="1"/>
  <c r="AF134" i="1"/>
  <c r="AG134" i="1"/>
  <c r="AH134" i="1"/>
  <c r="AJ134" i="1"/>
  <c r="AS133" i="1" s="1"/>
  <c r="AK134" i="1"/>
  <c r="AO134" i="1"/>
  <c r="AP134" i="1"/>
  <c r="J134" i="1" s="1"/>
  <c r="J133" i="1" s="1"/>
  <c r="AX134" i="1"/>
  <c r="BD134" i="1"/>
  <c r="BF134" i="1"/>
  <c r="BI134" i="1"/>
  <c r="AC134" i="1" s="1"/>
  <c r="BJ134" i="1"/>
  <c r="I138" i="1"/>
  <c r="K138" i="1"/>
  <c r="Z138" i="1"/>
  <c r="AB138" i="1"/>
  <c r="AC138" i="1"/>
  <c r="AF138" i="1"/>
  <c r="AG138" i="1"/>
  <c r="AH138" i="1"/>
  <c r="AJ138" i="1"/>
  <c r="AK138" i="1"/>
  <c r="AL138" i="1"/>
  <c r="AO138" i="1"/>
  <c r="AP138" i="1"/>
  <c r="AW138" i="1"/>
  <c r="BD138" i="1"/>
  <c r="BF138" i="1"/>
  <c r="BH138" i="1"/>
  <c r="AD138" i="1" s="1"/>
  <c r="BJ138" i="1"/>
  <c r="K141" i="1"/>
  <c r="Z141" i="1"/>
  <c r="AB141" i="1"/>
  <c r="AC141" i="1"/>
  <c r="AF141" i="1"/>
  <c r="AG141" i="1"/>
  <c r="AH141" i="1"/>
  <c r="AJ141" i="1"/>
  <c r="AK141" i="1"/>
  <c r="AO141" i="1"/>
  <c r="BH141" i="1" s="1"/>
  <c r="AD141" i="1" s="1"/>
  <c r="AP141" i="1"/>
  <c r="J141" i="1" s="1"/>
  <c r="AX141" i="1"/>
  <c r="BD141" i="1"/>
  <c r="BF141" i="1"/>
  <c r="BI141" i="1"/>
  <c r="AE141" i="1" s="1"/>
  <c r="BJ141" i="1"/>
  <c r="J143" i="1"/>
  <c r="K143" i="1"/>
  <c r="Z143" i="1"/>
  <c r="AB143" i="1"/>
  <c r="AC143" i="1"/>
  <c r="AF143" i="1"/>
  <c r="AG143" i="1"/>
  <c r="AH143" i="1"/>
  <c r="AJ143" i="1"/>
  <c r="AK143" i="1"/>
  <c r="AL143" i="1"/>
  <c r="AO143" i="1"/>
  <c r="I143" i="1" s="1"/>
  <c r="AP143" i="1"/>
  <c r="AX143" i="1" s="1"/>
  <c r="AW143" i="1"/>
  <c r="BD143" i="1"/>
  <c r="BF143" i="1"/>
  <c r="BH143" i="1"/>
  <c r="AD143" i="1" s="1"/>
  <c r="BI143" i="1"/>
  <c r="AE143" i="1" s="1"/>
  <c r="BJ143" i="1"/>
  <c r="I145" i="1"/>
  <c r="J145" i="1"/>
  <c r="K145" i="1"/>
  <c r="AL145" i="1" s="1"/>
  <c r="Z145" i="1"/>
  <c r="AB145" i="1"/>
  <c r="AC145" i="1"/>
  <c r="AF145" i="1"/>
  <c r="AG145" i="1"/>
  <c r="AH145" i="1"/>
  <c r="AJ145" i="1"/>
  <c r="AK145" i="1"/>
  <c r="AO145" i="1"/>
  <c r="AW145" i="1" s="1"/>
  <c r="BC145" i="1" s="1"/>
  <c r="AP145" i="1"/>
  <c r="AX145" i="1"/>
  <c r="BD145" i="1"/>
  <c r="BF145" i="1"/>
  <c r="BH145" i="1"/>
  <c r="AD145" i="1" s="1"/>
  <c r="BI145" i="1"/>
  <c r="AE145" i="1" s="1"/>
  <c r="BJ145" i="1"/>
  <c r="I148" i="1"/>
  <c r="K148" i="1"/>
  <c r="Z148" i="1"/>
  <c r="AB148" i="1"/>
  <c r="AC148" i="1"/>
  <c r="AF148" i="1"/>
  <c r="AG148" i="1"/>
  <c r="AH148" i="1"/>
  <c r="AJ148" i="1"/>
  <c r="AK148" i="1"/>
  <c r="AL148" i="1"/>
  <c r="AO148" i="1"/>
  <c r="AP148" i="1"/>
  <c r="AW148" i="1"/>
  <c r="BD148" i="1"/>
  <c r="BF148" i="1"/>
  <c r="BH148" i="1"/>
  <c r="AD148" i="1" s="1"/>
  <c r="BI148" i="1"/>
  <c r="AE148" i="1" s="1"/>
  <c r="BJ148" i="1"/>
  <c r="K150" i="1"/>
  <c r="AL150" i="1" s="1"/>
  <c r="Z150" i="1"/>
  <c r="AB150" i="1"/>
  <c r="AC150" i="1"/>
  <c r="AF150" i="1"/>
  <c r="AG150" i="1"/>
  <c r="AH150" i="1"/>
  <c r="AJ150" i="1"/>
  <c r="AK150" i="1"/>
  <c r="AO150" i="1"/>
  <c r="AP150" i="1"/>
  <c r="J150" i="1" s="1"/>
  <c r="AX150" i="1"/>
  <c r="BD150" i="1"/>
  <c r="BF150" i="1"/>
  <c r="BH150" i="1"/>
  <c r="AD150" i="1" s="1"/>
  <c r="BI150" i="1"/>
  <c r="AE150" i="1" s="1"/>
  <c r="BJ150" i="1"/>
  <c r="J152" i="1"/>
  <c r="K152" i="1"/>
  <c r="Z152" i="1"/>
  <c r="AB152" i="1"/>
  <c r="AC152" i="1"/>
  <c r="AF152" i="1"/>
  <c r="AG152" i="1"/>
  <c r="AH152" i="1"/>
  <c r="AJ152" i="1"/>
  <c r="AK152" i="1"/>
  <c r="AL152" i="1"/>
  <c r="AO152" i="1"/>
  <c r="I152" i="1" s="1"/>
  <c r="AP152" i="1"/>
  <c r="AX152" i="1" s="1"/>
  <c r="AW152" i="1"/>
  <c r="BD152" i="1"/>
  <c r="BF152" i="1"/>
  <c r="BH152" i="1"/>
  <c r="AD152" i="1" s="1"/>
  <c r="BI152" i="1"/>
  <c r="AE152" i="1" s="1"/>
  <c r="BJ152" i="1"/>
  <c r="I154" i="1"/>
  <c r="J154" i="1"/>
  <c r="K154" i="1"/>
  <c r="AL154" i="1" s="1"/>
  <c r="Z154" i="1"/>
  <c r="AB154" i="1"/>
  <c r="AC154" i="1"/>
  <c r="AF154" i="1"/>
  <c r="AG154" i="1"/>
  <c r="AH154" i="1"/>
  <c r="AJ154" i="1"/>
  <c r="AK154" i="1"/>
  <c r="AO154" i="1"/>
  <c r="AW154" i="1" s="1"/>
  <c r="AP154" i="1"/>
  <c r="AX154" i="1"/>
  <c r="AV154" i="1" s="1"/>
  <c r="BD154" i="1"/>
  <c r="BF154" i="1"/>
  <c r="BH154" i="1"/>
  <c r="AD154" i="1" s="1"/>
  <c r="BI154" i="1"/>
  <c r="AE154" i="1" s="1"/>
  <c r="BJ154" i="1"/>
  <c r="I156" i="1"/>
  <c r="K156" i="1"/>
  <c r="Z156" i="1"/>
  <c r="AB156" i="1"/>
  <c r="AC156" i="1"/>
  <c r="AF156" i="1"/>
  <c r="AG156" i="1"/>
  <c r="AH156" i="1"/>
  <c r="AJ156" i="1"/>
  <c r="AK156" i="1"/>
  <c r="AL156" i="1"/>
  <c r="AO156" i="1"/>
  <c r="AP156" i="1"/>
  <c r="AW156" i="1"/>
  <c r="BD156" i="1"/>
  <c r="BF156" i="1"/>
  <c r="BH156" i="1"/>
  <c r="AD156" i="1" s="1"/>
  <c r="BJ156" i="1"/>
  <c r="I158" i="1"/>
  <c r="K158" i="1"/>
  <c r="AL158" i="1" s="1"/>
  <c r="Z158" i="1"/>
  <c r="AB158" i="1"/>
  <c r="AC158" i="1"/>
  <c r="AF158" i="1"/>
  <c r="AG158" i="1"/>
  <c r="AH158" i="1"/>
  <c r="AJ158" i="1"/>
  <c r="AK158" i="1"/>
  <c r="AO158" i="1"/>
  <c r="AW158" i="1" s="1"/>
  <c r="BC158" i="1" s="1"/>
  <c r="AP158" i="1"/>
  <c r="J158" i="1" s="1"/>
  <c r="AX158" i="1"/>
  <c r="BD158" i="1"/>
  <c r="BF158" i="1"/>
  <c r="BI158" i="1"/>
  <c r="AE158" i="1" s="1"/>
  <c r="BJ158" i="1"/>
  <c r="J160" i="1"/>
  <c r="K160" i="1"/>
  <c r="Z160" i="1"/>
  <c r="AB160" i="1"/>
  <c r="AC160" i="1"/>
  <c r="AF160" i="1"/>
  <c r="AG160" i="1"/>
  <c r="AH160" i="1"/>
  <c r="AJ160" i="1"/>
  <c r="AK160" i="1"/>
  <c r="AL160" i="1"/>
  <c r="AO160" i="1"/>
  <c r="I160" i="1" s="1"/>
  <c r="AP160" i="1"/>
  <c r="AX160" i="1" s="1"/>
  <c r="AW160" i="1"/>
  <c r="BC160" i="1"/>
  <c r="BD160" i="1"/>
  <c r="BF160" i="1"/>
  <c r="BH160" i="1"/>
  <c r="AD160" i="1" s="1"/>
  <c r="BI160" i="1"/>
  <c r="AE160" i="1" s="1"/>
  <c r="BJ160" i="1"/>
  <c r="J162" i="1"/>
  <c r="K162" i="1"/>
  <c r="AL162" i="1" s="1"/>
  <c r="Z162" i="1"/>
  <c r="AB162" i="1"/>
  <c r="AC162" i="1"/>
  <c r="AF162" i="1"/>
  <c r="AG162" i="1"/>
  <c r="AH162" i="1"/>
  <c r="AJ162" i="1"/>
  <c r="AK162" i="1"/>
  <c r="AO162" i="1"/>
  <c r="AW162" i="1" s="1"/>
  <c r="AP162" i="1"/>
  <c r="AX162" i="1"/>
  <c r="AV162" i="1" s="1"/>
  <c r="BD162" i="1"/>
  <c r="BF162" i="1"/>
  <c r="BH162" i="1"/>
  <c r="AD162" i="1" s="1"/>
  <c r="BI162" i="1"/>
  <c r="AE162" i="1" s="1"/>
  <c r="BJ162" i="1"/>
  <c r="I164" i="1"/>
  <c r="K164" i="1"/>
  <c r="Z164" i="1"/>
  <c r="AB164" i="1"/>
  <c r="AC164" i="1"/>
  <c r="AF164" i="1"/>
  <c r="AG164" i="1"/>
  <c r="AH164" i="1"/>
  <c r="AJ164" i="1"/>
  <c r="AK164" i="1"/>
  <c r="AL164" i="1"/>
  <c r="AO164" i="1"/>
  <c r="AP164" i="1"/>
  <c r="AW164" i="1"/>
  <c r="BD164" i="1"/>
  <c r="BF164" i="1"/>
  <c r="BH164" i="1"/>
  <c r="AD164" i="1" s="1"/>
  <c r="BJ164" i="1"/>
  <c r="I166" i="1"/>
  <c r="K166" i="1"/>
  <c r="AL166" i="1" s="1"/>
  <c r="Z166" i="1"/>
  <c r="AB166" i="1"/>
  <c r="AC166" i="1"/>
  <c r="AF166" i="1"/>
  <c r="AG166" i="1"/>
  <c r="AH166" i="1"/>
  <c r="AJ166" i="1"/>
  <c r="AK166" i="1"/>
  <c r="AO166" i="1"/>
  <c r="AW166" i="1" s="1"/>
  <c r="BC166" i="1" s="1"/>
  <c r="AP166" i="1"/>
  <c r="J166" i="1" s="1"/>
  <c r="AX166" i="1"/>
  <c r="BD166" i="1"/>
  <c r="BF166" i="1"/>
  <c r="BI166" i="1"/>
  <c r="AE166" i="1" s="1"/>
  <c r="BJ166" i="1"/>
  <c r="J168" i="1"/>
  <c r="K168" i="1"/>
  <c r="Z168" i="1"/>
  <c r="AB168" i="1"/>
  <c r="AC168" i="1"/>
  <c r="AF168" i="1"/>
  <c r="AG168" i="1"/>
  <c r="AH168" i="1"/>
  <c r="AJ168" i="1"/>
  <c r="AK168" i="1"/>
  <c r="AL168" i="1"/>
  <c r="AO168" i="1"/>
  <c r="I168" i="1" s="1"/>
  <c r="AP168" i="1"/>
  <c r="AX168" i="1" s="1"/>
  <c r="AW168" i="1"/>
  <c r="BC168" i="1"/>
  <c r="BD168" i="1"/>
  <c r="BF168" i="1"/>
  <c r="BH168" i="1"/>
  <c r="AD168" i="1" s="1"/>
  <c r="BI168" i="1"/>
  <c r="AE168" i="1" s="1"/>
  <c r="BJ168" i="1"/>
  <c r="I170" i="1"/>
  <c r="J170" i="1"/>
  <c r="K170" i="1"/>
  <c r="AL170" i="1" s="1"/>
  <c r="AB170" i="1"/>
  <c r="AC170" i="1"/>
  <c r="AD170" i="1"/>
  <c r="AE170" i="1"/>
  <c r="AF170" i="1"/>
  <c r="AG170" i="1"/>
  <c r="AH170" i="1"/>
  <c r="AJ170" i="1"/>
  <c r="AK170" i="1"/>
  <c r="AO170" i="1"/>
  <c r="AP170" i="1"/>
  <c r="AV170" i="1"/>
  <c r="AW170" i="1"/>
  <c r="BC170" i="1" s="1"/>
  <c r="AX170" i="1"/>
  <c r="BD170" i="1"/>
  <c r="BF170" i="1"/>
  <c r="BH170" i="1"/>
  <c r="BI170" i="1"/>
  <c r="BJ170" i="1"/>
  <c r="Z170" i="1" s="1"/>
  <c r="K173" i="1"/>
  <c r="Z173" i="1"/>
  <c r="AB173" i="1"/>
  <c r="AC173" i="1"/>
  <c r="AF173" i="1"/>
  <c r="AG173" i="1"/>
  <c r="AH173" i="1"/>
  <c r="AJ173" i="1"/>
  <c r="AK173" i="1"/>
  <c r="AL173" i="1"/>
  <c r="AO173" i="1"/>
  <c r="I173" i="1" s="1"/>
  <c r="AP173" i="1"/>
  <c r="J173" i="1" s="1"/>
  <c r="AW173" i="1"/>
  <c r="BD173" i="1"/>
  <c r="BF173" i="1"/>
  <c r="BH173" i="1"/>
  <c r="AD173" i="1" s="1"/>
  <c r="BJ173" i="1"/>
  <c r="I175" i="1"/>
  <c r="J175" i="1"/>
  <c r="K175" i="1"/>
  <c r="Z175" i="1"/>
  <c r="AB175" i="1"/>
  <c r="AC175" i="1"/>
  <c r="AF175" i="1"/>
  <c r="AG175" i="1"/>
  <c r="AH175" i="1"/>
  <c r="AJ175" i="1"/>
  <c r="AK175" i="1"/>
  <c r="AT172" i="1" s="1"/>
  <c r="AL175" i="1"/>
  <c r="AU172" i="1" s="1"/>
  <c r="AO175" i="1"/>
  <c r="AP175" i="1"/>
  <c r="AW175" i="1"/>
  <c r="AX175" i="1"/>
  <c r="BD175" i="1"/>
  <c r="BF175" i="1"/>
  <c r="BH175" i="1"/>
  <c r="AD175" i="1" s="1"/>
  <c r="BI175" i="1"/>
  <c r="AE175" i="1" s="1"/>
  <c r="BJ175" i="1"/>
  <c r="I178" i="1"/>
  <c r="J178" i="1"/>
  <c r="K178" i="1"/>
  <c r="Z178" i="1"/>
  <c r="AB178" i="1"/>
  <c r="AC178" i="1"/>
  <c r="AF178" i="1"/>
  <c r="AG178" i="1"/>
  <c r="AH178" i="1"/>
  <c r="AJ178" i="1"/>
  <c r="AK178" i="1"/>
  <c r="AL178" i="1"/>
  <c r="AO178" i="1"/>
  <c r="AP178" i="1"/>
  <c r="AX178" i="1" s="1"/>
  <c r="AW178" i="1"/>
  <c r="AV178" i="1" s="1"/>
  <c r="BC178" i="1"/>
  <c r="BD178" i="1"/>
  <c r="BF178" i="1"/>
  <c r="BH178" i="1"/>
  <c r="AD178" i="1" s="1"/>
  <c r="BI178" i="1"/>
  <c r="AE178" i="1" s="1"/>
  <c r="BJ178" i="1"/>
  <c r="K183" i="1"/>
  <c r="AL183" i="1" s="1"/>
  <c r="Z183" i="1"/>
  <c r="AB183" i="1"/>
  <c r="AC183" i="1"/>
  <c r="AF183" i="1"/>
  <c r="AG183" i="1"/>
  <c r="AH183" i="1"/>
  <c r="AJ183" i="1"/>
  <c r="AK183" i="1"/>
  <c r="AO183" i="1"/>
  <c r="I183" i="1" s="1"/>
  <c r="AP183" i="1"/>
  <c r="BD183" i="1"/>
  <c r="BF183" i="1"/>
  <c r="BH183" i="1"/>
  <c r="AD183" i="1" s="1"/>
  <c r="BI183" i="1"/>
  <c r="AE183" i="1" s="1"/>
  <c r="BJ183" i="1"/>
  <c r="K186" i="1"/>
  <c r="AL186" i="1" s="1"/>
  <c r="Z186" i="1"/>
  <c r="AB186" i="1"/>
  <c r="AC186" i="1"/>
  <c r="AD186" i="1"/>
  <c r="AE186" i="1"/>
  <c r="AF186" i="1"/>
  <c r="AG186" i="1"/>
  <c r="AH186" i="1"/>
  <c r="AJ186" i="1"/>
  <c r="AK186" i="1"/>
  <c r="AO186" i="1"/>
  <c r="AP186" i="1"/>
  <c r="J186" i="1" s="1"/>
  <c r="AX186" i="1"/>
  <c r="BD186" i="1"/>
  <c r="BF186" i="1"/>
  <c r="BI186" i="1"/>
  <c r="BJ186" i="1"/>
  <c r="AT188" i="1"/>
  <c r="K189" i="1"/>
  <c r="K188" i="1" s="1"/>
  <c r="Z189" i="1"/>
  <c r="AB189" i="1"/>
  <c r="AC189" i="1"/>
  <c r="AF189" i="1"/>
  <c r="AG189" i="1"/>
  <c r="AH189" i="1"/>
  <c r="AJ189" i="1"/>
  <c r="AS188" i="1" s="1"/>
  <c r="AK189" i="1"/>
  <c r="AO189" i="1"/>
  <c r="I189" i="1" s="1"/>
  <c r="I188" i="1" s="1"/>
  <c r="AP189" i="1"/>
  <c r="BD189" i="1"/>
  <c r="BF189" i="1"/>
  <c r="BH189" i="1"/>
  <c r="AD189" i="1" s="1"/>
  <c r="BI189" i="1"/>
  <c r="AE189" i="1" s="1"/>
  <c r="BJ189" i="1"/>
  <c r="I192" i="1"/>
  <c r="K192" i="1"/>
  <c r="Z192" i="1"/>
  <c r="AB192" i="1"/>
  <c r="AC192" i="1"/>
  <c r="AF192" i="1"/>
  <c r="AG192" i="1"/>
  <c r="AH192" i="1"/>
  <c r="AJ192" i="1"/>
  <c r="AK192" i="1"/>
  <c r="AL192" i="1"/>
  <c r="AU191" i="1" s="1"/>
  <c r="AO192" i="1"/>
  <c r="AP192" i="1"/>
  <c r="J192" i="1" s="1"/>
  <c r="AW192" i="1"/>
  <c r="BD192" i="1"/>
  <c r="BF192" i="1"/>
  <c r="BH192" i="1"/>
  <c r="AD192" i="1" s="1"/>
  <c r="BI192" i="1"/>
  <c r="AE192" i="1" s="1"/>
  <c r="BJ192" i="1"/>
  <c r="K194" i="1"/>
  <c r="AL194" i="1" s="1"/>
  <c r="Z194" i="1"/>
  <c r="AB194" i="1"/>
  <c r="AC194" i="1"/>
  <c r="AF194" i="1"/>
  <c r="AG194" i="1"/>
  <c r="AH194" i="1"/>
  <c r="AJ194" i="1"/>
  <c r="AK194" i="1"/>
  <c r="AO194" i="1"/>
  <c r="I194" i="1" s="1"/>
  <c r="AP194" i="1"/>
  <c r="BI194" i="1" s="1"/>
  <c r="AE194" i="1" s="1"/>
  <c r="BD194" i="1"/>
  <c r="BF194" i="1"/>
  <c r="BH194" i="1"/>
  <c r="AD194" i="1" s="1"/>
  <c r="BJ194" i="1"/>
  <c r="J196" i="1"/>
  <c r="K196" i="1"/>
  <c r="AL196" i="1" s="1"/>
  <c r="Z196" i="1"/>
  <c r="AB196" i="1"/>
  <c r="AC196" i="1"/>
  <c r="AF196" i="1"/>
  <c r="AG196" i="1"/>
  <c r="AH196" i="1"/>
  <c r="AJ196" i="1"/>
  <c r="AK196" i="1"/>
  <c r="AO196" i="1"/>
  <c r="AP196" i="1"/>
  <c r="AX196" i="1"/>
  <c r="BD196" i="1"/>
  <c r="BF196" i="1"/>
  <c r="BH196" i="1"/>
  <c r="AD196" i="1" s="1"/>
  <c r="BI196" i="1"/>
  <c r="AE196" i="1" s="1"/>
  <c r="BJ196" i="1"/>
  <c r="J198" i="1"/>
  <c r="K198" i="1"/>
  <c r="Z198" i="1"/>
  <c r="AB198" i="1"/>
  <c r="AC198" i="1"/>
  <c r="AF198" i="1"/>
  <c r="AG198" i="1"/>
  <c r="AH198" i="1"/>
  <c r="AJ198" i="1"/>
  <c r="AK198" i="1"/>
  <c r="AL198" i="1"/>
  <c r="AO198" i="1"/>
  <c r="I198" i="1" s="1"/>
  <c r="AP198" i="1"/>
  <c r="AX198" i="1" s="1"/>
  <c r="AW198" i="1"/>
  <c r="BD198" i="1"/>
  <c r="BF198" i="1"/>
  <c r="BH198" i="1"/>
  <c r="AD198" i="1" s="1"/>
  <c r="BI198" i="1"/>
  <c r="AE198" i="1" s="1"/>
  <c r="BJ198" i="1"/>
  <c r="I200" i="1"/>
  <c r="K200" i="1"/>
  <c r="Z200" i="1"/>
  <c r="AB200" i="1"/>
  <c r="AC200" i="1"/>
  <c r="AF200" i="1"/>
  <c r="AG200" i="1"/>
  <c r="AH200" i="1"/>
  <c r="AJ200" i="1"/>
  <c r="AK200" i="1"/>
  <c r="AL200" i="1"/>
  <c r="AO200" i="1"/>
  <c r="AW200" i="1" s="1"/>
  <c r="AP200" i="1"/>
  <c r="J200" i="1" s="1"/>
  <c r="BD200" i="1"/>
  <c r="BF200" i="1"/>
  <c r="BH200" i="1"/>
  <c r="AD200" i="1" s="1"/>
  <c r="BI200" i="1"/>
  <c r="AE200" i="1" s="1"/>
  <c r="BJ200" i="1"/>
  <c r="K202" i="1"/>
  <c r="Z202" i="1"/>
  <c r="AB202" i="1"/>
  <c r="AC202" i="1"/>
  <c r="AD202" i="1"/>
  <c r="AE202" i="1"/>
  <c r="AF202" i="1"/>
  <c r="AG202" i="1"/>
  <c r="AH202" i="1"/>
  <c r="AJ202" i="1"/>
  <c r="AK202" i="1"/>
  <c r="AL202" i="1"/>
  <c r="AO202" i="1"/>
  <c r="I202" i="1" s="1"/>
  <c r="AP202" i="1"/>
  <c r="AW202" i="1"/>
  <c r="BD202" i="1"/>
  <c r="BF202" i="1"/>
  <c r="BH202" i="1"/>
  <c r="BI202" i="1"/>
  <c r="BJ202" i="1"/>
  <c r="I205" i="1"/>
  <c r="K205" i="1"/>
  <c r="AL205" i="1" s="1"/>
  <c r="AU204" i="1" s="1"/>
  <c r="Z205" i="1"/>
  <c r="AB205" i="1"/>
  <c r="AC205" i="1"/>
  <c r="AF205" i="1"/>
  <c r="AG205" i="1"/>
  <c r="AH205" i="1"/>
  <c r="AJ205" i="1"/>
  <c r="AS204" i="1" s="1"/>
  <c r="AK205" i="1"/>
  <c r="AT204" i="1" s="1"/>
  <c r="AO205" i="1"/>
  <c r="AW205" i="1" s="1"/>
  <c r="BC205" i="1" s="1"/>
  <c r="AP205" i="1"/>
  <c r="J205" i="1" s="1"/>
  <c r="AX205" i="1"/>
  <c r="BD205" i="1"/>
  <c r="BF205" i="1"/>
  <c r="BH205" i="1"/>
  <c r="AD205" i="1" s="1"/>
  <c r="BI205" i="1"/>
  <c r="AE205" i="1" s="1"/>
  <c r="BJ205" i="1"/>
  <c r="K207" i="1"/>
  <c r="Z207" i="1"/>
  <c r="AB207" i="1"/>
  <c r="AC207" i="1"/>
  <c r="AF207" i="1"/>
  <c r="AG207" i="1"/>
  <c r="AH207" i="1"/>
  <c r="AJ207" i="1"/>
  <c r="AK207" i="1"/>
  <c r="AL207" i="1"/>
  <c r="AO207" i="1"/>
  <c r="I207" i="1" s="1"/>
  <c r="AP207" i="1"/>
  <c r="AW207" i="1"/>
  <c r="BD207" i="1"/>
  <c r="BF207" i="1"/>
  <c r="BH207" i="1"/>
  <c r="AD207" i="1" s="1"/>
  <c r="BI207" i="1"/>
  <c r="AE207" i="1" s="1"/>
  <c r="BJ207" i="1"/>
  <c r="J210" i="1"/>
  <c r="K210" i="1"/>
  <c r="AL210" i="1" s="1"/>
  <c r="Z210" i="1"/>
  <c r="AB210" i="1"/>
  <c r="AC210" i="1"/>
  <c r="AF210" i="1"/>
  <c r="AG210" i="1"/>
  <c r="AH210" i="1"/>
  <c r="AJ210" i="1"/>
  <c r="AK210" i="1"/>
  <c r="AO210" i="1"/>
  <c r="BH210" i="1" s="1"/>
  <c r="AD210" i="1" s="1"/>
  <c r="AP210" i="1"/>
  <c r="AX210" i="1"/>
  <c r="BD210" i="1"/>
  <c r="BF210" i="1"/>
  <c r="BI210" i="1"/>
  <c r="AE210" i="1" s="1"/>
  <c r="BJ210" i="1"/>
  <c r="I212" i="1"/>
  <c r="J212" i="1"/>
  <c r="K212" i="1"/>
  <c r="Z212" i="1"/>
  <c r="AB212" i="1"/>
  <c r="AC212" i="1"/>
  <c r="AD212" i="1"/>
  <c r="AE212" i="1"/>
  <c r="AF212" i="1"/>
  <c r="AG212" i="1"/>
  <c r="AH212" i="1"/>
  <c r="AJ212" i="1"/>
  <c r="AK212" i="1"/>
  <c r="AL212" i="1"/>
  <c r="AO212" i="1"/>
  <c r="AP212" i="1"/>
  <c r="AX212" i="1" s="1"/>
  <c r="AW212" i="1"/>
  <c r="BD212" i="1"/>
  <c r="BF212" i="1"/>
  <c r="BH212" i="1"/>
  <c r="BI212" i="1"/>
  <c r="BJ212" i="1"/>
  <c r="AT214" i="1"/>
  <c r="J215" i="1"/>
  <c r="K215" i="1"/>
  <c r="Z215" i="1"/>
  <c r="AB215" i="1"/>
  <c r="AC215" i="1"/>
  <c r="AF215" i="1"/>
  <c r="AG215" i="1"/>
  <c r="AH215" i="1"/>
  <c r="AJ215" i="1"/>
  <c r="AK215" i="1"/>
  <c r="AO215" i="1"/>
  <c r="AP215" i="1"/>
  <c r="AX215" i="1"/>
  <c r="BD215" i="1"/>
  <c r="BF215" i="1"/>
  <c r="BI215" i="1"/>
  <c r="AE215" i="1" s="1"/>
  <c r="BJ215" i="1"/>
  <c r="I217" i="1"/>
  <c r="J217" i="1"/>
  <c r="K217" i="1"/>
  <c r="Z217" i="1"/>
  <c r="AB217" i="1"/>
  <c r="AC217" i="1"/>
  <c r="AF217" i="1"/>
  <c r="AG217" i="1"/>
  <c r="AH217" i="1"/>
  <c r="AJ217" i="1"/>
  <c r="AS214" i="1" s="1"/>
  <c r="AK217" i="1"/>
  <c r="AL217" i="1"/>
  <c r="AO217" i="1"/>
  <c r="AP217" i="1"/>
  <c r="AX217" i="1" s="1"/>
  <c r="AW217" i="1"/>
  <c r="BD217" i="1"/>
  <c r="BF217" i="1"/>
  <c r="BH217" i="1"/>
  <c r="AD217" i="1" s="1"/>
  <c r="BI217" i="1"/>
  <c r="AE217" i="1" s="1"/>
  <c r="BJ217" i="1"/>
  <c r="I219" i="1"/>
  <c r="K219" i="1"/>
  <c r="AL219" i="1" s="1"/>
  <c r="AB219" i="1"/>
  <c r="AC219" i="1"/>
  <c r="AD219" i="1"/>
  <c r="AE219" i="1"/>
  <c r="AF219" i="1"/>
  <c r="AG219" i="1"/>
  <c r="AH219" i="1"/>
  <c r="AJ219" i="1"/>
  <c r="AK219" i="1"/>
  <c r="AO219" i="1"/>
  <c r="AW219" i="1" s="1"/>
  <c r="BC219" i="1" s="1"/>
  <c r="AP219" i="1"/>
  <c r="J219" i="1" s="1"/>
  <c r="AV219" i="1"/>
  <c r="AX219" i="1"/>
  <c r="BD219" i="1"/>
  <c r="BF219" i="1"/>
  <c r="BH219" i="1"/>
  <c r="BI219" i="1"/>
  <c r="BJ219" i="1"/>
  <c r="Z219" i="1" s="1"/>
  <c r="I222" i="1"/>
  <c r="J222" i="1"/>
  <c r="K222" i="1"/>
  <c r="Z222" i="1"/>
  <c r="AB222" i="1"/>
  <c r="AC222" i="1"/>
  <c r="AF222" i="1"/>
  <c r="AG222" i="1"/>
  <c r="AH222" i="1"/>
  <c r="AJ222" i="1"/>
  <c r="AK222" i="1"/>
  <c r="AL222" i="1"/>
  <c r="AO222" i="1"/>
  <c r="AP222" i="1"/>
  <c r="AX222" i="1" s="1"/>
  <c r="AW222" i="1"/>
  <c r="BD222" i="1"/>
  <c r="BF222" i="1"/>
  <c r="BH222" i="1"/>
  <c r="AD222" i="1" s="1"/>
  <c r="BI222" i="1"/>
  <c r="AE222" i="1" s="1"/>
  <c r="BJ222" i="1"/>
  <c r="I228" i="1"/>
  <c r="K228" i="1"/>
  <c r="AL228" i="1" s="1"/>
  <c r="Z228" i="1"/>
  <c r="AB228" i="1"/>
  <c r="AC228" i="1"/>
  <c r="AF228" i="1"/>
  <c r="AG228" i="1"/>
  <c r="AH228" i="1"/>
  <c r="AJ228" i="1"/>
  <c r="AK228" i="1"/>
  <c r="AO228" i="1"/>
  <c r="AW228" i="1" s="1"/>
  <c r="BC228" i="1" s="1"/>
  <c r="AP228" i="1"/>
  <c r="J228" i="1" s="1"/>
  <c r="AX228" i="1"/>
  <c r="BD228" i="1"/>
  <c r="BF228" i="1"/>
  <c r="BH228" i="1"/>
  <c r="AD228" i="1" s="1"/>
  <c r="BI228" i="1"/>
  <c r="AE228" i="1" s="1"/>
  <c r="BJ228" i="1"/>
  <c r="K230" i="1"/>
  <c r="Z230" i="1"/>
  <c r="AB230" i="1"/>
  <c r="AC230" i="1"/>
  <c r="AF230" i="1"/>
  <c r="AG230" i="1"/>
  <c r="AH230" i="1"/>
  <c r="AJ230" i="1"/>
  <c r="AS221" i="1" s="1"/>
  <c r="AK230" i="1"/>
  <c r="AL230" i="1"/>
  <c r="AO230" i="1"/>
  <c r="I230" i="1" s="1"/>
  <c r="AP230" i="1"/>
  <c r="AW230" i="1"/>
  <c r="BD230" i="1"/>
  <c r="BF230" i="1"/>
  <c r="BH230" i="1"/>
  <c r="AD230" i="1" s="1"/>
  <c r="BJ230" i="1"/>
  <c r="J234" i="1"/>
  <c r="K234" i="1"/>
  <c r="AL234" i="1" s="1"/>
  <c r="Z234" i="1"/>
  <c r="AB234" i="1"/>
  <c r="AC234" i="1"/>
  <c r="AF234" i="1"/>
  <c r="AG234" i="1"/>
  <c r="AH234" i="1"/>
  <c r="AJ234" i="1"/>
  <c r="AK234" i="1"/>
  <c r="AO234" i="1"/>
  <c r="AP234" i="1"/>
  <c r="AX234" i="1"/>
  <c r="BD234" i="1"/>
  <c r="BF234" i="1"/>
  <c r="BH234" i="1"/>
  <c r="AD234" i="1" s="1"/>
  <c r="BI234" i="1"/>
  <c r="AE234" i="1" s="1"/>
  <c r="BJ234" i="1"/>
  <c r="I242" i="1"/>
  <c r="J242" i="1"/>
  <c r="K242" i="1"/>
  <c r="Z242" i="1"/>
  <c r="AB242" i="1"/>
  <c r="AC242" i="1"/>
  <c r="AF242" i="1"/>
  <c r="AG242" i="1"/>
  <c r="AH242" i="1"/>
  <c r="AJ242" i="1"/>
  <c r="AK242" i="1"/>
  <c r="AL242" i="1"/>
  <c r="AO242" i="1"/>
  <c r="AP242" i="1"/>
  <c r="AX242" i="1" s="1"/>
  <c r="AW242" i="1"/>
  <c r="BD242" i="1"/>
  <c r="BF242" i="1"/>
  <c r="BH242" i="1"/>
  <c r="AD242" i="1" s="1"/>
  <c r="BI242" i="1"/>
  <c r="AE242" i="1" s="1"/>
  <c r="BJ242" i="1"/>
  <c r="I244" i="1"/>
  <c r="K244" i="1"/>
  <c r="AL244" i="1" s="1"/>
  <c r="Z244" i="1"/>
  <c r="AB244" i="1"/>
  <c r="AC244" i="1"/>
  <c r="AF244" i="1"/>
  <c r="AG244" i="1"/>
  <c r="AH244" i="1"/>
  <c r="AJ244" i="1"/>
  <c r="AK244" i="1"/>
  <c r="AO244" i="1"/>
  <c r="AW244" i="1" s="1"/>
  <c r="BC244" i="1" s="1"/>
  <c r="AP244" i="1"/>
  <c r="J244" i="1" s="1"/>
  <c r="AX244" i="1"/>
  <c r="BD244" i="1"/>
  <c r="BF244" i="1"/>
  <c r="BH244" i="1"/>
  <c r="AD244" i="1" s="1"/>
  <c r="BI244" i="1"/>
  <c r="AE244" i="1" s="1"/>
  <c r="BJ244" i="1"/>
  <c r="K246" i="1"/>
  <c r="Z246" i="1"/>
  <c r="AB246" i="1"/>
  <c r="AC246" i="1"/>
  <c r="AF246" i="1"/>
  <c r="AG246" i="1"/>
  <c r="AH246" i="1"/>
  <c r="AJ246" i="1"/>
  <c r="AK246" i="1"/>
  <c r="AL246" i="1"/>
  <c r="AO246" i="1"/>
  <c r="I246" i="1" s="1"/>
  <c r="AP246" i="1"/>
  <c r="AW246" i="1"/>
  <c r="BD246" i="1"/>
  <c r="BF246" i="1"/>
  <c r="BH246" i="1"/>
  <c r="AD246" i="1" s="1"/>
  <c r="BI246" i="1"/>
  <c r="AE246" i="1" s="1"/>
  <c r="BJ246" i="1"/>
  <c r="J248" i="1"/>
  <c r="K248" i="1"/>
  <c r="AL248" i="1" s="1"/>
  <c r="Z248" i="1"/>
  <c r="AB248" i="1"/>
  <c r="AC248" i="1"/>
  <c r="AF248" i="1"/>
  <c r="AG248" i="1"/>
  <c r="AH248" i="1"/>
  <c r="AJ248" i="1"/>
  <c r="AK248" i="1"/>
  <c r="AO248" i="1"/>
  <c r="AP248" i="1"/>
  <c r="AX248" i="1"/>
  <c r="BD248" i="1"/>
  <c r="BF248" i="1"/>
  <c r="BH248" i="1"/>
  <c r="AD248" i="1" s="1"/>
  <c r="BI248" i="1"/>
  <c r="AE248" i="1" s="1"/>
  <c r="BJ248" i="1"/>
  <c r="I250" i="1"/>
  <c r="J250" i="1"/>
  <c r="K250" i="1"/>
  <c r="Z250" i="1"/>
  <c r="AB250" i="1"/>
  <c r="AC250" i="1"/>
  <c r="AF250" i="1"/>
  <c r="AG250" i="1"/>
  <c r="AH250" i="1"/>
  <c r="AJ250" i="1"/>
  <c r="AK250" i="1"/>
  <c r="AL250" i="1"/>
  <c r="AO250" i="1"/>
  <c r="AP250" i="1"/>
  <c r="AX250" i="1" s="1"/>
  <c r="AW250" i="1"/>
  <c r="BD250" i="1"/>
  <c r="BF250" i="1"/>
  <c r="BH250" i="1"/>
  <c r="AD250" i="1" s="1"/>
  <c r="BI250" i="1"/>
  <c r="AE250" i="1" s="1"/>
  <c r="BJ250" i="1"/>
  <c r="I252" i="1"/>
  <c r="K252" i="1"/>
  <c r="AL252" i="1" s="1"/>
  <c r="Z252" i="1"/>
  <c r="AB252" i="1"/>
  <c r="AC252" i="1"/>
  <c r="AF252" i="1"/>
  <c r="AG252" i="1"/>
  <c r="AH252" i="1"/>
  <c r="AJ252" i="1"/>
  <c r="AK252" i="1"/>
  <c r="AO252" i="1"/>
  <c r="AW252" i="1" s="1"/>
  <c r="BC252" i="1" s="1"/>
  <c r="AP252" i="1"/>
  <c r="J252" i="1" s="1"/>
  <c r="AX252" i="1"/>
  <c r="BD252" i="1"/>
  <c r="BF252" i="1"/>
  <c r="BH252" i="1"/>
  <c r="AD252" i="1" s="1"/>
  <c r="BI252" i="1"/>
  <c r="AE252" i="1" s="1"/>
  <c r="BJ252" i="1"/>
  <c r="K254" i="1"/>
  <c r="Z254" i="1"/>
  <c r="AB254" i="1"/>
  <c r="AC254" i="1"/>
  <c r="AF254" i="1"/>
  <c r="AG254" i="1"/>
  <c r="AH254" i="1"/>
  <c r="AJ254" i="1"/>
  <c r="AK254" i="1"/>
  <c r="AL254" i="1"/>
  <c r="AO254" i="1"/>
  <c r="I254" i="1" s="1"/>
  <c r="AP254" i="1"/>
  <c r="AW254" i="1"/>
  <c r="BD254" i="1"/>
  <c r="BF254" i="1"/>
  <c r="BH254" i="1"/>
  <c r="AD254" i="1" s="1"/>
  <c r="BJ254" i="1"/>
  <c r="J256" i="1"/>
  <c r="K256" i="1"/>
  <c r="AL256" i="1" s="1"/>
  <c r="Z256" i="1"/>
  <c r="AB256" i="1"/>
  <c r="AC256" i="1"/>
  <c r="AF256" i="1"/>
  <c r="AG256" i="1"/>
  <c r="AH256" i="1"/>
  <c r="AJ256" i="1"/>
  <c r="AK256" i="1"/>
  <c r="AO256" i="1"/>
  <c r="AP256" i="1"/>
  <c r="AX256" i="1"/>
  <c r="BD256" i="1"/>
  <c r="BF256" i="1"/>
  <c r="BH256" i="1"/>
  <c r="AD256" i="1" s="1"/>
  <c r="BI256" i="1"/>
  <c r="AE256" i="1" s="1"/>
  <c r="BJ256" i="1"/>
  <c r="I258" i="1"/>
  <c r="J258" i="1"/>
  <c r="K258" i="1"/>
  <c r="Z258" i="1"/>
  <c r="AB258" i="1"/>
  <c r="AC258" i="1"/>
  <c r="AF258" i="1"/>
  <c r="AG258" i="1"/>
  <c r="AH258" i="1"/>
  <c r="AJ258" i="1"/>
  <c r="AK258" i="1"/>
  <c r="AL258" i="1"/>
  <c r="AO258" i="1"/>
  <c r="AP258" i="1"/>
  <c r="AX258" i="1" s="1"/>
  <c r="AW258" i="1"/>
  <c r="BD258" i="1"/>
  <c r="BF258" i="1"/>
  <c r="BH258" i="1"/>
  <c r="AD258" i="1" s="1"/>
  <c r="BI258" i="1"/>
  <c r="AE258" i="1" s="1"/>
  <c r="BJ258" i="1"/>
  <c r="I260" i="1"/>
  <c r="K260" i="1"/>
  <c r="AL260" i="1" s="1"/>
  <c r="Z260" i="1"/>
  <c r="AB260" i="1"/>
  <c r="AC260" i="1"/>
  <c r="AF260" i="1"/>
  <c r="AG260" i="1"/>
  <c r="AH260" i="1"/>
  <c r="AJ260" i="1"/>
  <c r="AK260" i="1"/>
  <c r="AO260" i="1"/>
  <c r="AW260" i="1" s="1"/>
  <c r="BC260" i="1" s="1"/>
  <c r="AP260" i="1"/>
  <c r="J260" i="1" s="1"/>
  <c r="AX260" i="1"/>
  <c r="BD260" i="1"/>
  <c r="BF260" i="1"/>
  <c r="BH260" i="1"/>
  <c r="AD260" i="1" s="1"/>
  <c r="BI260" i="1"/>
  <c r="AE260" i="1" s="1"/>
  <c r="BJ260" i="1"/>
  <c r="K262" i="1"/>
  <c r="Z262" i="1"/>
  <c r="AB262" i="1"/>
  <c r="AC262" i="1"/>
  <c r="AF262" i="1"/>
  <c r="AG262" i="1"/>
  <c r="AH262" i="1"/>
  <c r="AJ262" i="1"/>
  <c r="AK262" i="1"/>
  <c r="AL262" i="1"/>
  <c r="AO262" i="1"/>
  <c r="I262" i="1" s="1"/>
  <c r="AP262" i="1"/>
  <c r="AW262" i="1"/>
  <c r="BD262" i="1"/>
  <c r="BF262" i="1"/>
  <c r="BH262" i="1"/>
  <c r="AD262" i="1" s="1"/>
  <c r="BI262" i="1"/>
  <c r="AE262" i="1" s="1"/>
  <c r="BJ262" i="1"/>
  <c r="J264" i="1"/>
  <c r="K264" i="1"/>
  <c r="AL264" i="1" s="1"/>
  <c r="Z264" i="1"/>
  <c r="AB264" i="1"/>
  <c r="AC264" i="1"/>
  <c r="AF264" i="1"/>
  <c r="AG264" i="1"/>
  <c r="AH264" i="1"/>
  <c r="AJ264" i="1"/>
  <c r="AK264" i="1"/>
  <c r="AO264" i="1"/>
  <c r="AP264" i="1"/>
  <c r="AX264" i="1"/>
  <c r="BD264" i="1"/>
  <c r="BF264" i="1"/>
  <c r="BH264" i="1"/>
  <c r="AD264" i="1" s="1"/>
  <c r="BI264" i="1"/>
  <c r="AE264" i="1" s="1"/>
  <c r="BJ264" i="1"/>
  <c r="I266" i="1"/>
  <c r="J266" i="1"/>
  <c r="K266" i="1"/>
  <c r="Z266" i="1"/>
  <c r="AB266" i="1"/>
  <c r="AC266" i="1"/>
  <c r="AF266" i="1"/>
  <c r="AG266" i="1"/>
  <c r="AH266" i="1"/>
  <c r="AJ266" i="1"/>
  <c r="AK266" i="1"/>
  <c r="AL266" i="1"/>
  <c r="AO266" i="1"/>
  <c r="AP266" i="1"/>
  <c r="AX266" i="1" s="1"/>
  <c r="AW266" i="1"/>
  <c r="BD266" i="1"/>
  <c r="BF266" i="1"/>
  <c r="BH266" i="1"/>
  <c r="AD266" i="1" s="1"/>
  <c r="BI266" i="1"/>
  <c r="AE266" i="1" s="1"/>
  <c r="BJ266" i="1"/>
  <c r="K268" i="1"/>
  <c r="AL268" i="1" s="1"/>
  <c r="Z268" i="1"/>
  <c r="AB268" i="1"/>
  <c r="AC268" i="1"/>
  <c r="AF268" i="1"/>
  <c r="AG268" i="1"/>
  <c r="AH268" i="1"/>
  <c r="AJ268" i="1"/>
  <c r="AK268" i="1"/>
  <c r="AO268" i="1"/>
  <c r="AP268" i="1"/>
  <c r="J268" i="1" s="1"/>
  <c r="AX268" i="1"/>
  <c r="BD268" i="1"/>
  <c r="BF268" i="1"/>
  <c r="BI268" i="1"/>
  <c r="AE268" i="1" s="1"/>
  <c r="BJ268" i="1"/>
  <c r="K271" i="1"/>
  <c r="Z271" i="1"/>
  <c r="AB271" i="1"/>
  <c r="AC271" i="1"/>
  <c r="AF271" i="1"/>
  <c r="AG271" i="1"/>
  <c r="AH271" i="1"/>
  <c r="AJ271" i="1"/>
  <c r="AK271" i="1"/>
  <c r="AL271" i="1"/>
  <c r="AO271" i="1"/>
  <c r="I271" i="1" s="1"/>
  <c r="AP271" i="1"/>
  <c r="AX271" i="1" s="1"/>
  <c r="AW271" i="1"/>
  <c r="BC271" i="1"/>
  <c r="BD271" i="1"/>
  <c r="BF271" i="1"/>
  <c r="BH271" i="1"/>
  <c r="AD271" i="1" s="1"/>
  <c r="BI271" i="1"/>
  <c r="AE271" i="1" s="1"/>
  <c r="BJ271" i="1"/>
  <c r="J273" i="1"/>
  <c r="K273" i="1"/>
  <c r="AL273" i="1" s="1"/>
  <c r="AB273" i="1"/>
  <c r="AC273" i="1"/>
  <c r="AD273" i="1"/>
  <c r="AE273" i="1"/>
  <c r="AF273" i="1"/>
  <c r="AG273" i="1"/>
  <c r="AH273" i="1"/>
  <c r="AJ273" i="1"/>
  <c r="AK273" i="1"/>
  <c r="AO273" i="1"/>
  <c r="AW273" i="1" s="1"/>
  <c r="BC273" i="1" s="1"/>
  <c r="AP273" i="1"/>
  <c r="AV273" i="1"/>
  <c r="AX273" i="1"/>
  <c r="BD273" i="1"/>
  <c r="BF273" i="1"/>
  <c r="BH273" i="1"/>
  <c r="BI273" i="1"/>
  <c r="BJ273" i="1"/>
  <c r="Z273" i="1" s="1"/>
  <c r="AT275" i="1"/>
  <c r="K276" i="1"/>
  <c r="K275" i="1" s="1"/>
  <c r="Z276" i="1"/>
  <c r="AB276" i="1"/>
  <c r="AC276" i="1"/>
  <c r="AF276" i="1"/>
  <c r="AG276" i="1"/>
  <c r="AH276" i="1"/>
  <c r="AJ276" i="1"/>
  <c r="AS275" i="1" s="1"/>
  <c r="AK276" i="1"/>
  <c r="AL276" i="1"/>
  <c r="AU275" i="1" s="1"/>
  <c r="AO276" i="1"/>
  <c r="I276" i="1" s="1"/>
  <c r="I275" i="1" s="1"/>
  <c r="AP276" i="1"/>
  <c r="AW276" i="1"/>
  <c r="BD276" i="1"/>
  <c r="BF276" i="1"/>
  <c r="BH276" i="1"/>
  <c r="AD276" i="1" s="1"/>
  <c r="BJ276" i="1"/>
  <c r="K279" i="1"/>
  <c r="Z279" i="1"/>
  <c r="AB279" i="1"/>
  <c r="AC279" i="1"/>
  <c r="AF279" i="1"/>
  <c r="AG279" i="1"/>
  <c r="AH279" i="1"/>
  <c r="AJ279" i="1"/>
  <c r="AK279" i="1"/>
  <c r="AO279" i="1"/>
  <c r="AW279" i="1" s="1"/>
  <c r="BC279" i="1" s="1"/>
  <c r="AP279" i="1"/>
  <c r="J279" i="1" s="1"/>
  <c r="AV279" i="1"/>
  <c r="AX279" i="1"/>
  <c r="BD279" i="1"/>
  <c r="BF279" i="1"/>
  <c r="BH279" i="1"/>
  <c r="AD279" i="1" s="1"/>
  <c r="BI279" i="1"/>
  <c r="AE279" i="1" s="1"/>
  <c r="BJ279" i="1"/>
  <c r="K294" i="1"/>
  <c r="Z294" i="1"/>
  <c r="AB294" i="1"/>
  <c r="AC294" i="1"/>
  <c r="AF294" i="1"/>
  <c r="AG294" i="1"/>
  <c r="AH294" i="1"/>
  <c r="AJ294" i="1"/>
  <c r="AK294" i="1"/>
  <c r="AL294" i="1"/>
  <c r="AO294" i="1"/>
  <c r="I294" i="1" s="1"/>
  <c r="AP294" i="1"/>
  <c r="AW294" i="1"/>
  <c r="BD294" i="1"/>
  <c r="BF294" i="1"/>
  <c r="BH294" i="1"/>
  <c r="AD294" i="1" s="1"/>
  <c r="BJ294" i="1"/>
  <c r="J296" i="1"/>
  <c r="K296" i="1"/>
  <c r="AL296" i="1" s="1"/>
  <c r="Z296" i="1"/>
  <c r="AB296" i="1"/>
  <c r="AC296" i="1"/>
  <c r="AF296" i="1"/>
  <c r="AG296" i="1"/>
  <c r="AH296" i="1"/>
  <c r="AJ296" i="1"/>
  <c r="AK296" i="1"/>
  <c r="AO296" i="1"/>
  <c r="I296" i="1" s="1"/>
  <c r="AP296" i="1"/>
  <c r="AX296" i="1"/>
  <c r="BD296" i="1"/>
  <c r="BF296" i="1"/>
  <c r="BI296" i="1"/>
  <c r="AE296" i="1" s="1"/>
  <c r="BJ296" i="1"/>
  <c r="I298" i="1"/>
  <c r="K298" i="1"/>
  <c r="Z298" i="1"/>
  <c r="AB298" i="1"/>
  <c r="AC298" i="1"/>
  <c r="AF298" i="1"/>
  <c r="AG298" i="1"/>
  <c r="AH298" i="1"/>
  <c r="AJ298" i="1"/>
  <c r="AK298" i="1"/>
  <c r="AL298" i="1"/>
  <c r="AO298" i="1"/>
  <c r="AP298" i="1"/>
  <c r="AW298" i="1"/>
  <c r="BD298" i="1"/>
  <c r="BF298" i="1"/>
  <c r="BH298" i="1"/>
  <c r="AD298" i="1" s="1"/>
  <c r="BJ298" i="1"/>
  <c r="K300" i="1"/>
  <c r="AL300" i="1" s="1"/>
  <c r="Z300" i="1"/>
  <c r="AB300" i="1"/>
  <c r="AC300" i="1"/>
  <c r="AF300" i="1"/>
  <c r="AG300" i="1"/>
  <c r="AH300" i="1"/>
  <c r="AJ300" i="1"/>
  <c r="AK300" i="1"/>
  <c r="AO300" i="1"/>
  <c r="AW300" i="1" s="1"/>
  <c r="AP300" i="1"/>
  <c r="J300" i="1" s="1"/>
  <c r="AX300" i="1"/>
  <c r="BD300" i="1"/>
  <c r="BF300" i="1"/>
  <c r="BH300" i="1"/>
  <c r="AD300" i="1" s="1"/>
  <c r="BJ300" i="1"/>
  <c r="J302" i="1"/>
  <c r="K302" i="1"/>
  <c r="AL302" i="1" s="1"/>
  <c r="Z302" i="1"/>
  <c r="AB302" i="1"/>
  <c r="AC302" i="1"/>
  <c r="AF302" i="1"/>
  <c r="AG302" i="1"/>
  <c r="AH302" i="1"/>
  <c r="AJ302" i="1"/>
  <c r="AK302" i="1"/>
  <c r="AO302" i="1"/>
  <c r="AP302" i="1"/>
  <c r="AX302" i="1"/>
  <c r="BD302" i="1"/>
  <c r="BF302" i="1"/>
  <c r="BI302" i="1"/>
  <c r="AE302" i="1" s="1"/>
  <c r="BJ302" i="1"/>
  <c r="I304" i="1"/>
  <c r="J304" i="1"/>
  <c r="K304" i="1"/>
  <c r="AL304" i="1" s="1"/>
  <c r="Z304" i="1"/>
  <c r="AB304" i="1"/>
  <c r="AC304" i="1"/>
  <c r="AD304" i="1"/>
  <c r="AF304" i="1"/>
  <c r="AG304" i="1"/>
  <c r="AH304" i="1"/>
  <c r="AJ304" i="1"/>
  <c r="AK304" i="1"/>
  <c r="AO304" i="1"/>
  <c r="AP304" i="1"/>
  <c r="AW304" i="1"/>
  <c r="BC304" i="1" s="1"/>
  <c r="AX304" i="1"/>
  <c r="BD304" i="1"/>
  <c r="BF304" i="1"/>
  <c r="BH304" i="1"/>
  <c r="BI304" i="1"/>
  <c r="AE304" i="1" s="1"/>
  <c r="BJ304" i="1"/>
  <c r="J306" i="1"/>
  <c r="K306" i="1"/>
  <c r="Z306" i="1"/>
  <c r="AB306" i="1"/>
  <c r="AC306" i="1"/>
  <c r="AF306" i="1"/>
  <c r="AG306" i="1"/>
  <c r="AH306" i="1"/>
  <c r="AJ306" i="1"/>
  <c r="AK306" i="1"/>
  <c r="AL306" i="1"/>
  <c r="AO306" i="1"/>
  <c r="I306" i="1" s="1"/>
  <c r="AP306" i="1"/>
  <c r="AX306" i="1"/>
  <c r="BD306" i="1"/>
  <c r="BF306" i="1"/>
  <c r="BH306" i="1"/>
  <c r="AD306" i="1" s="1"/>
  <c r="BI306" i="1"/>
  <c r="AE306" i="1" s="1"/>
  <c r="BJ306" i="1"/>
  <c r="K310" i="1"/>
  <c r="Z310" i="1"/>
  <c r="AB310" i="1"/>
  <c r="AC310" i="1"/>
  <c r="AF310" i="1"/>
  <c r="AG310" i="1"/>
  <c r="AH310" i="1"/>
  <c r="AJ310" i="1"/>
  <c r="AK310" i="1"/>
  <c r="AL310" i="1"/>
  <c r="AO310" i="1"/>
  <c r="I310" i="1" s="1"/>
  <c r="AP310" i="1"/>
  <c r="AW310" i="1"/>
  <c r="BD310" i="1"/>
  <c r="BF310" i="1"/>
  <c r="BH310" i="1"/>
  <c r="AD310" i="1" s="1"/>
  <c r="BJ310" i="1"/>
  <c r="J312" i="1"/>
  <c r="K312" i="1"/>
  <c r="AL312" i="1" s="1"/>
  <c r="Z312" i="1"/>
  <c r="AB312" i="1"/>
  <c r="AC312" i="1"/>
  <c r="AF312" i="1"/>
  <c r="AG312" i="1"/>
  <c r="AH312" i="1"/>
  <c r="AJ312" i="1"/>
  <c r="AK312" i="1"/>
  <c r="AO312" i="1"/>
  <c r="AP312" i="1"/>
  <c r="AX312" i="1"/>
  <c r="BD312" i="1"/>
  <c r="BF312" i="1"/>
  <c r="BH312" i="1"/>
  <c r="AD312" i="1" s="1"/>
  <c r="BI312" i="1"/>
  <c r="AE312" i="1" s="1"/>
  <c r="BJ312" i="1"/>
  <c r="I314" i="1"/>
  <c r="J314" i="1"/>
  <c r="K314" i="1"/>
  <c r="Z314" i="1"/>
  <c r="AB314" i="1"/>
  <c r="AC314" i="1"/>
  <c r="AF314" i="1"/>
  <c r="AG314" i="1"/>
  <c r="AH314" i="1"/>
  <c r="AJ314" i="1"/>
  <c r="AK314" i="1"/>
  <c r="AL314" i="1"/>
  <c r="AO314" i="1"/>
  <c r="AP314" i="1"/>
  <c r="AX314" i="1" s="1"/>
  <c r="AW314" i="1"/>
  <c r="BD314" i="1"/>
  <c r="BF314" i="1"/>
  <c r="BH314" i="1"/>
  <c r="AD314" i="1" s="1"/>
  <c r="BI314" i="1"/>
  <c r="AE314" i="1" s="1"/>
  <c r="BJ314" i="1"/>
  <c r="I316" i="1"/>
  <c r="K316" i="1"/>
  <c r="AL316" i="1" s="1"/>
  <c r="Z316" i="1"/>
  <c r="AB316" i="1"/>
  <c r="AC316" i="1"/>
  <c r="AF316" i="1"/>
  <c r="AG316" i="1"/>
  <c r="AH316" i="1"/>
  <c r="AJ316" i="1"/>
  <c r="AK316" i="1"/>
  <c r="AO316" i="1"/>
  <c r="AW316" i="1" s="1"/>
  <c r="BC316" i="1" s="1"/>
  <c r="AP316" i="1"/>
  <c r="J316" i="1" s="1"/>
  <c r="AX316" i="1"/>
  <c r="BD316" i="1"/>
  <c r="BF316" i="1"/>
  <c r="BH316" i="1"/>
  <c r="AD316" i="1" s="1"/>
  <c r="BI316" i="1"/>
  <c r="AE316" i="1" s="1"/>
  <c r="BJ316" i="1"/>
  <c r="K318" i="1"/>
  <c r="Z318" i="1"/>
  <c r="AB318" i="1"/>
  <c r="AC318" i="1"/>
  <c r="AF318" i="1"/>
  <c r="AG318" i="1"/>
  <c r="AH318" i="1"/>
  <c r="AJ318" i="1"/>
  <c r="AK318" i="1"/>
  <c r="AL318" i="1"/>
  <c r="AO318" i="1"/>
  <c r="I318" i="1" s="1"/>
  <c r="AP318" i="1"/>
  <c r="AW318" i="1"/>
  <c r="BD318" i="1"/>
  <c r="BF318" i="1"/>
  <c r="BH318" i="1"/>
  <c r="AD318" i="1" s="1"/>
  <c r="BI318" i="1"/>
  <c r="AE318" i="1" s="1"/>
  <c r="BJ318" i="1"/>
  <c r="J320" i="1"/>
  <c r="K320" i="1"/>
  <c r="AL320" i="1" s="1"/>
  <c r="Z320" i="1"/>
  <c r="AB320" i="1"/>
  <c r="AC320" i="1"/>
  <c r="AF320" i="1"/>
  <c r="AG320" i="1"/>
  <c r="AH320" i="1"/>
  <c r="AJ320" i="1"/>
  <c r="AK320" i="1"/>
  <c r="AO320" i="1"/>
  <c r="AP320" i="1"/>
  <c r="AX320" i="1"/>
  <c r="BD320" i="1"/>
  <c r="BF320" i="1"/>
  <c r="BH320" i="1"/>
  <c r="AD320" i="1" s="1"/>
  <c r="BI320" i="1"/>
  <c r="AE320" i="1" s="1"/>
  <c r="BJ320" i="1"/>
  <c r="I322" i="1"/>
  <c r="J322" i="1"/>
  <c r="K322" i="1"/>
  <c r="Z322" i="1"/>
  <c r="AB322" i="1"/>
  <c r="AC322" i="1"/>
  <c r="AD322" i="1"/>
  <c r="AE322" i="1"/>
  <c r="AF322" i="1"/>
  <c r="AG322" i="1"/>
  <c r="AH322" i="1"/>
  <c r="AJ322" i="1"/>
  <c r="AK322" i="1"/>
  <c r="AL322" i="1"/>
  <c r="AO322" i="1"/>
  <c r="AP322" i="1"/>
  <c r="AX322" i="1" s="1"/>
  <c r="AW322" i="1"/>
  <c r="BD322" i="1"/>
  <c r="BF322" i="1"/>
  <c r="BH322" i="1"/>
  <c r="BI322" i="1"/>
  <c r="BJ322" i="1"/>
  <c r="AT324" i="1"/>
  <c r="J325" i="1"/>
  <c r="K325" i="1"/>
  <c r="Z325" i="1"/>
  <c r="AB325" i="1"/>
  <c r="AC325" i="1"/>
  <c r="AF325" i="1"/>
  <c r="AG325" i="1"/>
  <c r="AH325" i="1"/>
  <c r="AJ325" i="1"/>
  <c r="AK325" i="1"/>
  <c r="AO325" i="1"/>
  <c r="AP325" i="1"/>
  <c r="AX325" i="1"/>
  <c r="BD325" i="1"/>
  <c r="BF325" i="1"/>
  <c r="BI325" i="1"/>
  <c r="AE325" i="1" s="1"/>
  <c r="BJ325" i="1"/>
  <c r="I327" i="1"/>
  <c r="J327" i="1"/>
  <c r="K327" i="1"/>
  <c r="Z327" i="1"/>
  <c r="AB327" i="1"/>
  <c r="AC327" i="1"/>
  <c r="AD327" i="1"/>
  <c r="AE327" i="1"/>
  <c r="AF327" i="1"/>
  <c r="AG327" i="1"/>
  <c r="AH327" i="1"/>
  <c r="AJ327" i="1"/>
  <c r="AS324" i="1" s="1"/>
  <c r="AK327" i="1"/>
  <c r="AL327" i="1"/>
  <c r="AO327" i="1"/>
  <c r="AP327" i="1"/>
  <c r="AX327" i="1" s="1"/>
  <c r="AW327" i="1"/>
  <c r="BD327" i="1"/>
  <c r="BF327" i="1"/>
  <c r="BH327" i="1"/>
  <c r="BI327" i="1"/>
  <c r="BJ327" i="1"/>
  <c r="AT329" i="1"/>
  <c r="J330" i="1"/>
  <c r="K330" i="1"/>
  <c r="Z330" i="1"/>
  <c r="AB330" i="1"/>
  <c r="AC330" i="1"/>
  <c r="AF330" i="1"/>
  <c r="AG330" i="1"/>
  <c r="AH330" i="1"/>
  <c r="AJ330" i="1"/>
  <c r="AK330" i="1"/>
  <c r="AO330" i="1"/>
  <c r="AP330" i="1"/>
  <c r="AX330" i="1"/>
  <c r="BD330" i="1"/>
  <c r="BF330" i="1"/>
  <c r="BH330" i="1"/>
  <c r="AD330" i="1" s="1"/>
  <c r="BI330" i="1"/>
  <c r="AE330" i="1" s="1"/>
  <c r="BJ330" i="1"/>
  <c r="I332" i="1"/>
  <c r="J332" i="1"/>
  <c r="K332" i="1"/>
  <c r="Z332" i="1"/>
  <c r="AB332" i="1"/>
  <c r="AC332" i="1"/>
  <c r="AF332" i="1"/>
  <c r="AG332" i="1"/>
  <c r="AH332" i="1"/>
  <c r="AJ332" i="1"/>
  <c r="AS329" i="1" s="1"/>
  <c r="AK332" i="1"/>
  <c r="AL332" i="1"/>
  <c r="AO332" i="1"/>
  <c r="AP332" i="1"/>
  <c r="AX332" i="1" s="1"/>
  <c r="AW332" i="1"/>
  <c r="BD332" i="1"/>
  <c r="BF332" i="1"/>
  <c r="BH332" i="1"/>
  <c r="AD332" i="1" s="1"/>
  <c r="BI332" i="1"/>
  <c r="AE332" i="1" s="1"/>
  <c r="BJ332" i="1"/>
  <c r="AS355" i="1"/>
  <c r="AT355" i="1"/>
  <c r="J356" i="1"/>
  <c r="J355" i="1" s="1"/>
  <c r="K356" i="1"/>
  <c r="Z356" i="1"/>
  <c r="AB356" i="1"/>
  <c r="AC356" i="1"/>
  <c r="AF356" i="1"/>
  <c r="AG356" i="1"/>
  <c r="AH356" i="1"/>
  <c r="AJ356" i="1"/>
  <c r="AK356" i="1"/>
  <c r="AO356" i="1"/>
  <c r="AP356" i="1"/>
  <c r="AX356" i="1"/>
  <c r="BD356" i="1"/>
  <c r="BF356" i="1"/>
  <c r="BH356" i="1"/>
  <c r="AD356" i="1" s="1"/>
  <c r="BI356" i="1"/>
  <c r="AE356" i="1" s="1"/>
  <c r="BJ356" i="1"/>
  <c r="K362" i="1"/>
  <c r="Z362" i="1"/>
  <c r="AD362" i="1"/>
  <c r="AE362" i="1"/>
  <c r="AF362" i="1"/>
  <c r="AG362" i="1"/>
  <c r="AH362" i="1"/>
  <c r="AJ362" i="1"/>
  <c r="AK362" i="1"/>
  <c r="AL362" i="1"/>
  <c r="AO362" i="1"/>
  <c r="I362" i="1" s="1"/>
  <c r="AP362" i="1"/>
  <c r="AW362" i="1"/>
  <c r="BD362" i="1"/>
  <c r="BF362" i="1"/>
  <c r="BH362" i="1"/>
  <c r="AB362" i="1" s="1"/>
  <c r="BI362" i="1"/>
  <c r="AC362" i="1" s="1"/>
  <c r="BJ362" i="1"/>
  <c r="J368" i="1"/>
  <c r="K368" i="1"/>
  <c r="AL368" i="1" s="1"/>
  <c r="Z368" i="1"/>
  <c r="AC368" i="1"/>
  <c r="AD368" i="1"/>
  <c r="AE368" i="1"/>
  <c r="AF368" i="1"/>
  <c r="AG368" i="1"/>
  <c r="AH368" i="1"/>
  <c r="AJ368" i="1"/>
  <c r="AK368" i="1"/>
  <c r="AT361" i="1" s="1"/>
  <c r="AO368" i="1"/>
  <c r="AP368" i="1"/>
  <c r="AX368" i="1"/>
  <c r="BD368" i="1"/>
  <c r="BF368" i="1"/>
  <c r="BH368" i="1"/>
  <c r="AB368" i="1" s="1"/>
  <c r="BI368" i="1"/>
  <c r="BJ368" i="1"/>
  <c r="I370" i="1"/>
  <c r="J370" i="1"/>
  <c r="K370" i="1"/>
  <c r="Z370" i="1"/>
  <c r="AB370" i="1"/>
  <c r="AC370" i="1"/>
  <c r="AD370" i="1"/>
  <c r="AE370" i="1"/>
  <c r="AF370" i="1"/>
  <c r="AG370" i="1"/>
  <c r="AH370" i="1"/>
  <c r="AJ370" i="1"/>
  <c r="AK370" i="1"/>
  <c r="AL370" i="1"/>
  <c r="AU361" i="1" s="1"/>
  <c r="AO370" i="1"/>
  <c r="AP370" i="1"/>
  <c r="AX370" i="1" s="1"/>
  <c r="AW370" i="1"/>
  <c r="BD370" i="1"/>
  <c r="BF370" i="1"/>
  <c r="BH370" i="1"/>
  <c r="BI370" i="1"/>
  <c r="BJ370" i="1"/>
  <c r="I372" i="1"/>
  <c r="K372" i="1"/>
  <c r="AL372" i="1" s="1"/>
  <c r="Z372" i="1"/>
  <c r="AB372" i="1"/>
  <c r="AD372" i="1"/>
  <c r="AE372" i="1"/>
  <c r="AF372" i="1"/>
  <c r="AG372" i="1"/>
  <c r="AH372" i="1"/>
  <c r="AJ372" i="1"/>
  <c r="AK372" i="1"/>
  <c r="AO372" i="1"/>
  <c r="AW372" i="1" s="1"/>
  <c r="BC372" i="1" s="1"/>
  <c r="AP372" i="1"/>
  <c r="J372" i="1" s="1"/>
  <c r="AV372" i="1"/>
  <c r="AX372" i="1"/>
  <c r="BD372" i="1"/>
  <c r="BF372" i="1"/>
  <c r="BH372" i="1"/>
  <c r="BI372" i="1"/>
  <c r="AC372" i="1" s="1"/>
  <c r="BJ372" i="1"/>
  <c r="K374" i="1"/>
  <c r="Z374" i="1"/>
  <c r="AD374" i="1"/>
  <c r="AE374" i="1"/>
  <c r="AF374" i="1"/>
  <c r="AG374" i="1"/>
  <c r="AH374" i="1"/>
  <c r="AJ374" i="1"/>
  <c r="AK374" i="1"/>
  <c r="AL374" i="1"/>
  <c r="AO374" i="1"/>
  <c r="I374" i="1" s="1"/>
  <c r="AP374" i="1"/>
  <c r="AW374" i="1"/>
  <c r="BD374" i="1"/>
  <c r="BF374" i="1"/>
  <c r="BH374" i="1"/>
  <c r="AB374" i="1" s="1"/>
  <c r="BI374" i="1"/>
  <c r="AC374" i="1" s="1"/>
  <c r="BJ374" i="1"/>
  <c r="J376" i="1"/>
  <c r="K376" i="1"/>
  <c r="AL376" i="1" s="1"/>
  <c r="Z376" i="1"/>
  <c r="AC376" i="1"/>
  <c r="AD376" i="1"/>
  <c r="AE376" i="1"/>
  <c r="AF376" i="1"/>
  <c r="AG376" i="1"/>
  <c r="AH376" i="1"/>
  <c r="AJ376" i="1"/>
  <c r="AK376" i="1"/>
  <c r="AO376" i="1"/>
  <c r="AP376" i="1"/>
  <c r="AX376" i="1"/>
  <c r="BD376" i="1"/>
  <c r="BF376" i="1"/>
  <c r="BH376" i="1"/>
  <c r="AB376" i="1" s="1"/>
  <c r="BI376" i="1"/>
  <c r="BJ376" i="1"/>
  <c r="I378" i="1"/>
  <c r="J378" i="1"/>
  <c r="K378" i="1"/>
  <c r="Z378" i="1"/>
  <c r="AB378" i="1"/>
  <c r="AC378" i="1"/>
  <c r="AD378" i="1"/>
  <c r="AE378" i="1"/>
  <c r="AF378" i="1"/>
  <c r="AG378" i="1"/>
  <c r="AH378" i="1"/>
  <c r="AJ378" i="1"/>
  <c r="AK378" i="1"/>
  <c r="AL378" i="1"/>
  <c r="AO378" i="1"/>
  <c r="AP378" i="1"/>
  <c r="AX378" i="1" s="1"/>
  <c r="AW378" i="1"/>
  <c r="BD378" i="1"/>
  <c r="BF378" i="1"/>
  <c r="BH378" i="1"/>
  <c r="BI378" i="1"/>
  <c r="BJ378" i="1"/>
  <c r="I390" i="1"/>
  <c r="K390" i="1"/>
  <c r="AL390" i="1" s="1"/>
  <c r="AB390" i="1"/>
  <c r="AC390" i="1"/>
  <c r="AD390" i="1"/>
  <c r="AE390" i="1"/>
  <c r="AF390" i="1"/>
  <c r="AG390" i="1"/>
  <c r="AH390" i="1"/>
  <c r="AJ390" i="1"/>
  <c r="AK390" i="1"/>
  <c r="AO390" i="1"/>
  <c r="AW390" i="1" s="1"/>
  <c r="AP390" i="1"/>
  <c r="J390" i="1" s="1"/>
  <c r="BD390" i="1"/>
  <c r="BF390" i="1"/>
  <c r="BH390" i="1"/>
  <c r="BI390" i="1"/>
  <c r="BJ390" i="1"/>
  <c r="Z390" i="1" s="1"/>
  <c r="AS392" i="1"/>
  <c r="I393" i="1"/>
  <c r="J393" i="1"/>
  <c r="K393" i="1"/>
  <c r="Z393" i="1"/>
  <c r="AB393" i="1"/>
  <c r="AC393" i="1"/>
  <c r="AD393" i="1"/>
  <c r="AE393" i="1"/>
  <c r="AF393" i="1"/>
  <c r="AG393" i="1"/>
  <c r="AH393" i="1"/>
  <c r="AJ393" i="1"/>
  <c r="AK393" i="1"/>
  <c r="AL393" i="1"/>
  <c r="AO393" i="1"/>
  <c r="AP393" i="1"/>
  <c r="AX393" i="1" s="1"/>
  <c r="AW393" i="1"/>
  <c r="BD393" i="1"/>
  <c r="BF393" i="1"/>
  <c r="BH393" i="1"/>
  <c r="BI393" i="1"/>
  <c r="BJ393" i="1"/>
  <c r="I395" i="1"/>
  <c r="K395" i="1"/>
  <c r="Z395" i="1"/>
  <c r="AB395" i="1"/>
  <c r="AD395" i="1"/>
  <c r="AE395" i="1"/>
  <c r="AF395" i="1"/>
  <c r="AG395" i="1"/>
  <c r="AH395" i="1"/>
  <c r="AJ395" i="1"/>
  <c r="AK395" i="1"/>
  <c r="AO395" i="1"/>
  <c r="AW395" i="1" s="1"/>
  <c r="AP395" i="1"/>
  <c r="J395" i="1" s="1"/>
  <c r="BD395" i="1"/>
  <c r="BF395" i="1"/>
  <c r="BH395" i="1"/>
  <c r="BI395" i="1"/>
  <c r="AC395" i="1" s="1"/>
  <c r="BJ395" i="1"/>
  <c r="K397" i="1"/>
  <c r="AL397" i="1" s="1"/>
  <c r="Z397" i="1"/>
  <c r="AD397" i="1"/>
  <c r="AE397" i="1"/>
  <c r="AF397" i="1"/>
  <c r="AG397" i="1"/>
  <c r="AH397" i="1"/>
  <c r="AJ397" i="1"/>
  <c r="AK397" i="1"/>
  <c r="AO397" i="1"/>
  <c r="BH397" i="1" s="1"/>
  <c r="AB397" i="1" s="1"/>
  <c r="AP397" i="1"/>
  <c r="J397" i="1" s="1"/>
  <c r="BD397" i="1"/>
  <c r="BF397" i="1"/>
  <c r="BI397" i="1"/>
  <c r="AC397" i="1" s="1"/>
  <c r="BJ397" i="1"/>
  <c r="J399" i="1"/>
  <c r="K399" i="1"/>
  <c r="AL399" i="1" s="1"/>
  <c r="Z399" i="1"/>
  <c r="AC399" i="1"/>
  <c r="AD399" i="1"/>
  <c r="AE399" i="1"/>
  <c r="AF399" i="1"/>
  <c r="AG399" i="1"/>
  <c r="AH399" i="1"/>
  <c r="AJ399" i="1"/>
  <c r="AK399" i="1"/>
  <c r="AO399" i="1"/>
  <c r="I399" i="1" s="1"/>
  <c r="AP399" i="1"/>
  <c r="AX399" i="1"/>
  <c r="BD399" i="1"/>
  <c r="BF399" i="1"/>
  <c r="BI399" i="1"/>
  <c r="BJ399" i="1"/>
  <c r="I409" i="1"/>
  <c r="K409" i="1"/>
  <c r="Z409" i="1"/>
  <c r="AB409" i="1"/>
  <c r="AD409" i="1"/>
  <c r="AE409" i="1"/>
  <c r="AF409" i="1"/>
  <c r="AG409" i="1"/>
  <c r="AH409" i="1"/>
  <c r="AJ409" i="1"/>
  <c r="AK409" i="1"/>
  <c r="AL409" i="1"/>
  <c r="AO409" i="1"/>
  <c r="AP409" i="1"/>
  <c r="AX409" i="1" s="1"/>
  <c r="AV409" i="1"/>
  <c r="AW409" i="1"/>
  <c r="BC409" i="1"/>
  <c r="BD409" i="1"/>
  <c r="BF409" i="1"/>
  <c r="BH409" i="1"/>
  <c r="BI409" i="1"/>
  <c r="AC409" i="1" s="1"/>
  <c r="BJ409" i="1"/>
  <c r="J412" i="1"/>
  <c r="K412" i="1"/>
  <c r="K411" i="1" s="1"/>
  <c r="Z412" i="1"/>
  <c r="AC412" i="1"/>
  <c r="AD412" i="1"/>
  <c r="AE412" i="1"/>
  <c r="AF412" i="1"/>
  <c r="AG412" i="1"/>
  <c r="AH412" i="1"/>
  <c r="AJ412" i="1"/>
  <c r="AK412" i="1"/>
  <c r="AT411" i="1" s="1"/>
  <c r="AO412" i="1"/>
  <c r="I412" i="1" s="1"/>
  <c r="AP412" i="1"/>
  <c r="AX412" i="1"/>
  <c r="BD412" i="1"/>
  <c r="BF412" i="1"/>
  <c r="BI412" i="1"/>
  <c r="BJ412" i="1"/>
  <c r="I414" i="1"/>
  <c r="K414" i="1"/>
  <c r="Z414" i="1"/>
  <c r="AB414" i="1"/>
  <c r="AD414" i="1"/>
  <c r="AE414" i="1"/>
  <c r="AF414" i="1"/>
  <c r="AG414" i="1"/>
  <c r="AH414" i="1"/>
  <c r="AJ414" i="1"/>
  <c r="AK414" i="1"/>
  <c r="AL414" i="1"/>
  <c r="AO414" i="1"/>
  <c r="AP414" i="1"/>
  <c r="AX414" i="1" s="1"/>
  <c r="AV414" i="1"/>
  <c r="AW414" i="1"/>
  <c r="BC414" i="1"/>
  <c r="BD414" i="1"/>
  <c r="BF414" i="1"/>
  <c r="BH414" i="1"/>
  <c r="BI414" i="1"/>
  <c r="AC414" i="1" s="1"/>
  <c r="BJ414" i="1"/>
  <c r="I417" i="1"/>
  <c r="K417" i="1"/>
  <c r="AL417" i="1" s="1"/>
  <c r="Z417" i="1"/>
  <c r="AD417" i="1"/>
  <c r="AE417" i="1"/>
  <c r="AF417" i="1"/>
  <c r="AG417" i="1"/>
  <c r="AH417" i="1"/>
  <c r="AJ417" i="1"/>
  <c r="AK417" i="1"/>
  <c r="AO417" i="1"/>
  <c r="AW417" i="1" s="1"/>
  <c r="AP417" i="1"/>
  <c r="J417" i="1" s="1"/>
  <c r="AX417" i="1"/>
  <c r="BC417" i="1" s="1"/>
  <c r="BD417" i="1"/>
  <c r="BF417" i="1"/>
  <c r="BH417" i="1"/>
  <c r="AB417" i="1" s="1"/>
  <c r="BJ417" i="1"/>
  <c r="K428" i="1"/>
  <c r="AL428" i="1" s="1"/>
  <c r="Z428" i="1"/>
  <c r="AD428" i="1"/>
  <c r="AE428" i="1"/>
  <c r="AF428" i="1"/>
  <c r="AG428" i="1"/>
  <c r="AH428" i="1"/>
  <c r="AJ428" i="1"/>
  <c r="AS411" i="1" s="1"/>
  <c r="AK428" i="1"/>
  <c r="AO428" i="1"/>
  <c r="I428" i="1" s="1"/>
  <c r="AP428" i="1"/>
  <c r="AX428" i="1" s="1"/>
  <c r="BD428" i="1"/>
  <c r="BF428" i="1"/>
  <c r="BH428" i="1"/>
  <c r="AB428" i="1" s="1"/>
  <c r="BJ428" i="1"/>
  <c r="J432" i="1"/>
  <c r="K432" i="1"/>
  <c r="Z432" i="1"/>
  <c r="AD432" i="1"/>
  <c r="AE432" i="1"/>
  <c r="AF432" i="1"/>
  <c r="AG432" i="1"/>
  <c r="AH432" i="1"/>
  <c r="AJ432" i="1"/>
  <c r="AK432" i="1"/>
  <c r="AL432" i="1"/>
  <c r="AO432" i="1"/>
  <c r="I432" i="1" s="1"/>
  <c r="AP432" i="1"/>
  <c r="AW432" i="1"/>
  <c r="AV432" i="1" s="1"/>
  <c r="AX432" i="1"/>
  <c r="BC432" i="1"/>
  <c r="BD432" i="1"/>
  <c r="BF432" i="1"/>
  <c r="BH432" i="1"/>
  <c r="AB432" i="1" s="1"/>
  <c r="BI432" i="1"/>
  <c r="AC432" i="1" s="1"/>
  <c r="BJ432" i="1"/>
  <c r="K437" i="1"/>
  <c r="AL437" i="1" s="1"/>
  <c r="Z437" i="1"/>
  <c r="AD437" i="1"/>
  <c r="AE437" i="1"/>
  <c r="AF437" i="1"/>
  <c r="AG437" i="1"/>
  <c r="AH437" i="1"/>
  <c r="AJ437" i="1"/>
  <c r="AK437" i="1"/>
  <c r="AO437" i="1"/>
  <c r="I437" i="1" s="1"/>
  <c r="AP437" i="1"/>
  <c r="J437" i="1" s="1"/>
  <c r="AX437" i="1"/>
  <c r="BD437" i="1"/>
  <c r="BF437" i="1"/>
  <c r="BH437" i="1"/>
  <c r="AB437" i="1" s="1"/>
  <c r="BI437" i="1"/>
  <c r="AC437" i="1" s="1"/>
  <c r="BJ437" i="1"/>
  <c r="J440" i="1"/>
  <c r="K440" i="1"/>
  <c r="Z440" i="1"/>
  <c r="AB440" i="1"/>
  <c r="AC440" i="1"/>
  <c r="AD440" i="1"/>
  <c r="AE440" i="1"/>
  <c r="AF440" i="1"/>
  <c r="AG440" i="1"/>
  <c r="AH440" i="1"/>
  <c r="AJ440" i="1"/>
  <c r="AK440" i="1"/>
  <c r="AL440" i="1"/>
  <c r="AO440" i="1"/>
  <c r="I440" i="1" s="1"/>
  <c r="AP440" i="1"/>
  <c r="AX440" i="1" s="1"/>
  <c r="AW440" i="1"/>
  <c r="BD440" i="1"/>
  <c r="BF440" i="1"/>
  <c r="BH440" i="1"/>
  <c r="BI440" i="1"/>
  <c r="BJ440" i="1"/>
  <c r="I443" i="1"/>
  <c r="K443" i="1"/>
  <c r="AL443" i="1" s="1"/>
  <c r="Z443" i="1"/>
  <c r="AB443" i="1"/>
  <c r="AD443" i="1"/>
  <c r="AE443" i="1"/>
  <c r="AF443" i="1"/>
  <c r="AG443" i="1"/>
  <c r="AH443" i="1"/>
  <c r="AJ443" i="1"/>
  <c r="AK443" i="1"/>
  <c r="AO443" i="1"/>
  <c r="AW443" i="1" s="1"/>
  <c r="AP443" i="1"/>
  <c r="J443" i="1" s="1"/>
  <c r="AX443" i="1"/>
  <c r="BD443" i="1"/>
  <c r="BF443" i="1"/>
  <c r="BH443" i="1"/>
  <c r="BI443" i="1"/>
  <c r="AC443" i="1" s="1"/>
  <c r="BJ443" i="1"/>
  <c r="K447" i="1"/>
  <c r="Z447" i="1"/>
  <c r="AD447" i="1"/>
  <c r="AE447" i="1"/>
  <c r="AF447" i="1"/>
  <c r="AG447" i="1"/>
  <c r="AH447" i="1"/>
  <c r="AJ447" i="1"/>
  <c r="AK447" i="1"/>
  <c r="AL447" i="1"/>
  <c r="AO447" i="1"/>
  <c r="I447" i="1" s="1"/>
  <c r="AP447" i="1"/>
  <c r="BI447" i="1" s="1"/>
  <c r="AC447" i="1" s="1"/>
  <c r="AW447" i="1"/>
  <c r="BD447" i="1"/>
  <c r="BF447" i="1"/>
  <c r="BH447" i="1"/>
  <c r="AB447" i="1" s="1"/>
  <c r="BJ447" i="1"/>
  <c r="J450" i="1"/>
  <c r="K450" i="1"/>
  <c r="AL450" i="1" s="1"/>
  <c r="Z450" i="1"/>
  <c r="AC450" i="1"/>
  <c r="AD450" i="1"/>
  <c r="AE450" i="1"/>
  <c r="AF450" i="1"/>
  <c r="AG450" i="1"/>
  <c r="AH450" i="1"/>
  <c r="AJ450" i="1"/>
  <c r="AK450" i="1"/>
  <c r="AO450" i="1"/>
  <c r="I450" i="1" s="1"/>
  <c r="AP450" i="1"/>
  <c r="AX450" i="1"/>
  <c r="BD450" i="1"/>
  <c r="BF450" i="1"/>
  <c r="BH450" i="1"/>
  <c r="AB450" i="1" s="1"/>
  <c r="BI450" i="1"/>
  <c r="BJ450" i="1"/>
  <c r="I452" i="1"/>
  <c r="J452" i="1"/>
  <c r="K452" i="1"/>
  <c r="Z452" i="1"/>
  <c r="AB452" i="1"/>
  <c r="AC452" i="1"/>
  <c r="AD452" i="1"/>
  <c r="AE452" i="1"/>
  <c r="AF452" i="1"/>
  <c r="AG452" i="1"/>
  <c r="AH452" i="1"/>
  <c r="AJ452" i="1"/>
  <c r="AK452" i="1"/>
  <c r="AL452" i="1"/>
  <c r="AO452" i="1"/>
  <c r="AP452" i="1"/>
  <c r="AX452" i="1" s="1"/>
  <c r="AW452" i="1"/>
  <c r="BC452" i="1" s="1"/>
  <c r="BD452" i="1"/>
  <c r="BF452" i="1"/>
  <c r="BH452" i="1"/>
  <c r="BI452" i="1"/>
  <c r="BJ452" i="1"/>
  <c r="I454" i="1"/>
  <c r="K454" i="1"/>
  <c r="AL454" i="1" s="1"/>
  <c r="Z454" i="1"/>
  <c r="AB454" i="1"/>
  <c r="AD454" i="1"/>
  <c r="AE454" i="1"/>
  <c r="AF454" i="1"/>
  <c r="AG454" i="1"/>
  <c r="AH454" i="1"/>
  <c r="AJ454" i="1"/>
  <c r="AK454" i="1"/>
  <c r="AO454" i="1"/>
  <c r="AW454" i="1" s="1"/>
  <c r="AP454" i="1"/>
  <c r="J454" i="1" s="1"/>
  <c r="AX454" i="1"/>
  <c r="BD454" i="1"/>
  <c r="BF454" i="1"/>
  <c r="BH454" i="1"/>
  <c r="BI454" i="1"/>
  <c r="AC454" i="1" s="1"/>
  <c r="BJ454" i="1"/>
  <c r="K456" i="1"/>
  <c r="Z456" i="1"/>
  <c r="AD456" i="1"/>
  <c r="AE456" i="1"/>
  <c r="AF456" i="1"/>
  <c r="AG456" i="1"/>
  <c r="AH456" i="1"/>
  <c r="AJ456" i="1"/>
  <c r="AK456" i="1"/>
  <c r="AL456" i="1"/>
  <c r="AO456" i="1"/>
  <c r="I456" i="1" s="1"/>
  <c r="AP456" i="1"/>
  <c r="J456" i="1" s="1"/>
  <c r="AW456" i="1"/>
  <c r="BD456" i="1"/>
  <c r="BF456" i="1"/>
  <c r="BH456" i="1"/>
  <c r="AB456" i="1" s="1"/>
  <c r="BJ456" i="1"/>
  <c r="J458" i="1"/>
  <c r="K458" i="1"/>
  <c r="AL458" i="1" s="1"/>
  <c r="Z458" i="1"/>
  <c r="AC458" i="1"/>
  <c r="AD458" i="1"/>
  <c r="AE458" i="1"/>
  <c r="AF458" i="1"/>
  <c r="AG458" i="1"/>
  <c r="AH458" i="1"/>
  <c r="AJ458" i="1"/>
  <c r="AK458" i="1"/>
  <c r="AO458" i="1"/>
  <c r="I458" i="1" s="1"/>
  <c r="AP458" i="1"/>
  <c r="AX458" i="1"/>
  <c r="BD458" i="1"/>
  <c r="BF458" i="1"/>
  <c r="BH458" i="1"/>
  <c r="AB458" i="1" s="1"/>
  <c r="BI458" i="1"/>
  <c r="BJ458" i="1"/>
  <c r="I463" i="1"/>
  <c r="J463" i="1"/>
  <c r="K463" i="1"/>
  <c r="Z463" i="1"/>
  <c r="AB463" i="1"/>
  <c r="AC463" i="1"/>
  <c r="AD463" i="1"/>
  <c r="AE463" i="1"/>
  <c r="AF463" i="1"/>
  <c r="AG463" i="1"/>
  <c r="AH463" i="1"/>
  <c r="AJ463" i="1"/>
  <c r="AK463" i="1"/>
  <c r="AL463" i="1"/>
  <c r="AO463" i="1"/>
  <c r="AP463" i="1"/>
  <c r="AX463" i="1" s="1"/>
  <c r="AW463" i="1"/>
  <c r="BD463" i="1"/>
  <c r="BF463" i="1"/>
  <c r="BH463" i="1"/>
  <c r="BI463" i="1"/>
  <c r="BJ463" i="1"/>
  <c r="J466" i="1"/>
  <c r="K466" i="1"/>
  <c r="K465" i="1" s="1"/>
  <c r="Z466" i="1"/>
  <c r="AC466" i="1"/>
  <c r="AD466" i="1"/>
  <c r="AE466" i="1"/>
  <c r="AF466" i="1"/>
  <c r="AG466" i="1"/>
  <c r="AH466" i="1"/>
  <c r="AJ466" i="1"/>
  <c r="AK466" i="1"/>
  <c r="AO466" i="1"/>
  <c r="I466" i="1" s="1"/>
  <c r="AP466" i="1"/>
  <c r="AX466" i="1"/>
  <c r="BD466" i="1"/>
  <c r="BF466" i="1"/>
  <c r="BH466" i="1"/>
  <c r="AB466" i="1" s="1"/>
  <c r="BI466" i="1"/>
  <c r="BJ466" i="1"/>
  <c r="I468" i="1"/>
  <c r="J468" i="1"/>
  <c r="K468" i="1"/>
  <c r="Z468" i="1"/>
  <c r="AB468" i="1"/>
  <c r="AC468" i="1"/>
  <c r="AD468" i="1"/>
  <c r="AE468" i="1"/>
  <c r="AF468" i="1"/>
  <c r="AG468" i="1"/>
  <c r="AH468" i="1"/>
  <c r="AJ468" i="1"/>
  <c r="AS465" i="1" s="1"/>
  <c r="AK468" i="1"/>
  <c r="AL468" i="1"/>
  <c r="AO468" i="1"/>
  <c r="AP468" i="1"/>
  <c r="AX468" i="1" s="1"/>
  <c r="AW468" i="1"/>
  <c r="BC468" i="1" s="1"/>
  <c r="BD468" i="1"/>
  <c r="BF468" i="1"/>
  <c r="BH468" i="1"/>
  <c r="BI468" i="1"/>
  <c r="BJ468" i="1"/>
  <c r="I471" i="1"/>
  <c r="K471" i="1"/>
  <c r="AL471" i="1" s="1"/>
  <c r="Z471" i="1"/>
  <c r="AB471" i="1"/>
  <c r="AD471" i="1"/>
  <c r="AE471" i="1"/>
  <c r="AF471" i="1"/>
  <c r="AG471" i="1"/>
  <c r="AH471" i="1"/>
  <c r="AJ471" i="1"/>
  <c r="AK471" i="1"/>
  <c r="AT465" i="1" s="1"/>
  <c r="AO471" i="1"/>
  <c r="AW471" i="1" s="1"/>
  <c r="AP471" i="1"/>
  <c r="J471" i="1" s="1"/>
  <c r="AX471" i="1"/>
  <c r="BD471" i="1"/>
  <c r="BF471" i="1"/>
  <c r="BH471" i="1"/>
  <c r="BI471" i="1"/>
  <c r="AC471" i="1" s="1"/>
  <c r="BJ471" i="1"/>
  <c r="K475" i="1"/>
  <c r="Z475" i="1"/>
  <c r="AD475" i="1"/>
  <c r="AE475" i="1"/>
  <c r="AF475" i="1"/>
  <c r="AG475" i="1"/>
  <c r="AH475" i="1"/>
  <c r="AJ475" i="1"/>
  <c r="AK475" i="1"/>
  <c r="AL475" i="1"/>
  <c r="AO475" i="1"/>
  <c r="I475" i="1" s="1"/>
  <c r="AP475" i="1"/>
  <c r="J475" i="1" s="1"/>
  <c r="AW475" i="1"/>
  <c r="BD475" i="1"/>
  <c r="BF475" i="1"/>
  <c r="BH475" i="1"/>
  <c r="AB475" i="1" s="1"/>
  <c r="BI475" i="1"/>
  <c r="AC475" i="1" s="1"/>
  <c r="BJ475" i="1"/>
  <c r="J478" i="1"/>
  <c r="K478" i="1"/>
  <c r="AL478" i="1" s="1"/>
  <c r="Z478" i="1"/>
  <c r="AC478" i="1"/>
  <c r="AD478" i="1"/>
  <c r="AE478" i="1"/>
  <c r="AF478" i="1"/>
  <c r="AG478" i="1"/>
  <c r="AH478" i="1"/>
  <c r="AJ478" i="1"/>
  <c r="AK478" i="1"/>
  <c r="AO478" i="1"/>
  <c r="I478" i="1" s="1"/>
  <c r="AP478" i="1"/>
  <c r="AX478" i="1"/>
  <c r="BD478" i="1"/>
  <c r="BF478" i="1"/>
  <c r="BH478" i="1"/>
  <c r="AB478" i="1" s="1"/>
  <c r="BI478" i="1"/>
  <c r="BJ478" i="1"/>
  <c r="I482" i="1"/>
  <c r="J482" i="1"/>
  <c r="K482" i="1"/>
  <c r="Z482" i="1"/>
  <c r="AB482" i="1"/>
  <c r="AC482" i="1"/>
  <c r="AD482" i="1"/>
  <c r="AE482" i="1"/>
  <c r="AF482" i="1"/>
  <c r="AG482" i="1"/>
  <c r="AH482" i="1"/>
  <c r="AJ482" i="1"/>
  <c r="AK482" i="1"/>
  <c r="AL482" i="1"/>
  <c r="AO482" i="1"/>
  <c r="AP482" i="1"/>
  <c r="AX482" i="1" s="1"/>
  <c r="AW482" i="1"/>
  <c r="BC482" i="1" s="1"/>
  <c r="BD482" i="1"/>
  <c r="BF482" i="1"/>
  <c r="BH482" i="1"/>
  <c r="BI482" i="1"/>
  <c r="BJ482" i="1"/>
  <c r="I485" i="1"/>
  <c r="K485" i="1"/>
  <c r="AL485" i="1" s="1"/>
  <c r="Z485" i="1"/>
  <c r="AD485" i="1"/>
  <c r="AE485" i="1"/>
  <c r="AF485" i="1"/>
  <c r="AG485" i="1"/>
  <c r="AH485" i="1"/>
  <c r="AJ485" i="1"/>
  <c r="AK485" i="1"/>
  <c r="AO485" i="1"/>
  <c r="AW485" i="1" s="1"/>
  <c r="AP485" i="1"/>
  <c r="J485" i="1" s="1"/>
  <c r="AX485" i="1"/>
  <c r="BD485" i="1"/>
  <c r="BF485" i="1"/>
  <c r="BI485" i="1"/>
  <c r="AC485" i="1" s="1"/>
  <c r="BJ485" i="1"/>
  <c r="K488" i="1"/>
  <c r="Z488" i="1"/>
  <c r="AD488" i="1"/>
  <c r="AE488" i="1"/>
  <c r="AF488" i="1"/>
  <c r="AG488" i="1"/>
  <c r="AH488" i="1"/>
  <c r="AJ488" i="1"/>
  <c r="AK488" i="1"/>
  <c r="AL488" i="1"/>
  <c r="AO488" i="1"/>
  <c r="I488" i="1" s="1"/>
  <c r="AP488" i="1"/>
  <c r="J488" i="1" s="1"/>
  <c r="AW488" i="1"/>
  <c r="BD488" i="1"/>
  <c r="BF488" i="1"/>
  <c r="BH488" i="1"/>
  <c r="AB488" i="1" s="1"/>
  <c r="BI488" i="1"/>
  <c r="AC488" i="1" s="1"/>
  <c r="BJ488" i="1"/>
  <c r="J492" i="1"/>
  <c r="K492" i="1"/>
  <c r="AL492" i="1" s="1"/>
  <c r="Z492" i="1"/>
  <c r="AC492" i="1"/>
  <c r="AD492" i="1"/>
  <c r="AE492" i="1"/>
  <c r="AF492" i="1"/>
  <c r="AG492" i="1"/>
  <c r="AH492" i="1"/>
  <c r="AJ492" i="1"/>
  <c r="AK492" i="1"/>
  <c r="AO492" i="1"/>
  <c r="I492" i="1" s="1"/>
  <c r="AP492" i="1"/>
  <c r="AX492" i="1"/>
  <c r="BD492" i="1"/>
  <c r="BF492" i="1"/>
  <c r="BH492" i="1"/>
  <c r="AB492" i="1" s="1"/>
  <c r="BI492" i="1"/>
  <c r="BJ492" i="1"/>
  <c r="AT498" i="1"/>
  <c r="AU498" i="1"/>
  <c r="K499" i="1"/>
  <c r="K498" i="1" s="1"/>
  <c r="Z499" i="1"/>
  <c r="AB499" i="1"/>
  <c r="AC499" i="1"/>
  <c r="AD499" i="1"/>
  <c r="AE499" i="1"/>
  <c r="AF499" i="1"/>
  <c r="AG499" i="1"/>
  <c r="AH499" i="1"/>
  <c r="AJ499" i="1"/>
  <c r="AS498" i="1" s="1"/>
  <c r="AK499" i="1"/>
  <c r="AL499" i="1"/>
  <c r="AO499" i="1"/>
  <c r="I499" i="1" s="1"/>
  <c r="I498" i="1" s="1"/>
  <c r="AP499" i="1"/>
  <c r="J499" i="1" s="1"/>
  <c r="J498" i="1" s="1"/>
  <c r="AW499" i="1"/>
  <c r="BD499" i="1"/>
  <c r="BF499" i="1"/>
  <c r="BH499" i="1"/>
  <c r="BJ499" i="1"/>
  <c r="K501" i="1"/>
  <c r="I502" i="1"/>
  <c r="I501" i="1" s="1"/>
  <c r="K502" i="1"/>
  <c r="AL502" i="1" s="1"/>
  <c r="AU501" i="1" s="1"/>
  <c r="Z502" i="1"/>
  <c r="AB502" i="1"/>
  <c r="AC502" i="1"/>
  <c r="AD502" i="1"/>
  <c r="AE502" i="1"/>
  <c r="AF502" i="1"/>
  <c r="AH502" i="1"/>
  <c r="AJ502" i="1"/>
  <c r="AS501" i="1" s="1"/>
  <c r="AK502" i="1"/>
  <c r="AT501" i="1" s="1"/>
  <c r="AO502" i="1"/>
  <c r="AW502" i="1" s="1"/>
  <c r="AP502" i="1"/>
  <c r="J502" i="1" s="1"/>
  <c r="J501" i="1" s="1"/>
  <c r="AX502" i="1"/>
  <c r="BD502" i="1"/>
  <c r="BF502" i="1"/>
  <c r="BH502" i="1"/>
  <c r="BI502" i="1"/>
  <c r="AG502" i="1" s="1"/>
  <c r="BJ502" i="1"/>
  <c r="I505" i="1"/>
  <c r="J505" i="1"/>
  <c r="K505" i="1"/>
  <c r="Z505" i="1"/>
  <c r="AB505" i="1"/>
  <c r="AC505" i="1"/>
  <c r="AD505" i="1"/>
  <c r="AE505" i="1"/>
  <c r="AF505" i="1"/>
  <c r="AG505" i="1"/>
  <c r="AH505" i="1"/>
  <c r="AJ505" i="1"/>
  <c r="AK505" i="1"/>
  <c r="AT504" i="1" s="1"/>
  <c r="AL505" i="1"/>
  <c r="AO505" i="1"/>
  <c r="AP505" i="1"/>
  <c r="AX505" i="1" s="1"/>
  <c r="AW505" i="1"/>
  <c r="BD505" i="1"/>
  <c r="BF505" i="1"/>
  <c r="BH505" i="1"/>
  <c r="BI505" i="1"/>
  <c r="BJ505" i="1"/>
  <c r="I507" i="1"/>
  <c r="K507" i="1"/>
  <c r="AL507" i="1" s="1"/>
  <c r="AB507" i="1"/>
  <c r="AC507" i="1"/>
  <c r="AD507" i="1"/>
  <c r="AE507" i="1"/>
  <c r="AF507" i="1"/>
  <c r="AG507" i="1"/>
  <c r="AH507" i="1"/>
  <c r="AJ507" i="1"/>
  <c r="AK507" i="1"/>
  <c r="AO507" i="1"/>
  <c r="AW507" i="1" s="1"/>
  <c r="AP507" i="1"/>
  <c r="J507" i="1" s="1"/>
  <c r="AX507" i="1"/>
  <c r="BD507" i="1"/>
  <c r="BF507" i="1"/>
  <c r="BH507" i="1"/>
  <c r="BI507" i="1"/>
  <c r="BJ507" i="1"/>
  <c r="Z507" i="1" s="1"/>
  <c r="K509" i="1"/>
  <c r="Z509" i="1"/>
  <c r="AB509" i="1"/>
  <c r="AC509" i="1"/>
  <c r="AD509" i="1"/>
  <c r="AE509" i="1"/>
  <c r="AF509" i="1"/>
  <c r="AG509" i="1"/>
  <c r="AH509" i="1"/>
  <c r="AJ509" i="1"/>
  <c r="AS504" i="1" s="1"/>
  <c r="AK509" i="1"/>
  <c r="AL509" i="1"/>
  <c r="AO509" i="1"/>
  <c r="I509" i="1" s="1"/>
  <c r="AP509" i="1"/>
  <c r="BI509" i="1" s="1"/>
  <c r="AW509" i="1"/>
  <c r="BD509" i="1"/>
  <c r="BF509" i="1"/>
  <c r="BH509" i="1"/>
  <c r="BJ509" i="1"/>
  <c r="J511" i="1"/>
  <c r="K511" i="1"/>
  <c r="AL511" i="1" s="1"/>
  <c r="AB511" i="1"/>
  <c r="AC511" i="1"/>
  <c r="AD511" i="1"/>
  <c r="AE511" i="1"/>
  <c r="AF511" i="1"/>
  <c r="AG511" i="1"/>
  <c r="AH511" i="1"/>
  <c r="AJ511" i="1"/>
  <c r="AK511" i="1"/>
  <c r="AO511" i="1"/>
  <c r="I511" i="1" s="1"/>
  <c r="AP511" i="1"/>
  <c r="AX511" i="1"/>
  <c r="BD511" i="1"/>
  <c r="BF511" i="1"/>
  <c r="BH511" i="1"/>
  <c r="BI511" i="1"/>
  <c r="BJ511" i="1"/>
  <c r="Z511" i="1" s="1"/>
  <c r="I513" i="1"/>
  <c r="J513" i="1"/>
  <c r="K513" i="1"/>
  <c r="Z513" i="1"/>
  <c r="AB513" i="1"/>
  <c r="AC513" i="1"/>
  <c r="AD513" i="1"/>
  <c r="AE513" i="1"/>
  <c r="AF513" i="1"/>
  <c r="AG513" i="1"/>
  <c r="AH513" i="1"/>
  <c r="AJ513" i="1"/>
  <c r="AK513" i="1"/>
  <c r="AL513" i="1"/>
  <c r="AO513" i="1"/>
  <c r="AP513" i="1"/>
  <c r="AX513" i="1" s="1"/>
  <c r="AW513" i="1"/>
  <c r="BC513" i="1" s="1"/>
  <c r="BD513" i="1"/>
  <c r="BF513" i="1"/>
  <c r="BH513" i="1"/>
  <c r="BI513" i="1"/>
  <c r="BJ513" i="1"/>
  <c r="I515" i="1"/>
  <c r="K515" i="1"/>
  <c r="AL515" i="1" s="1"/>
  <c r="AB515" i="1"/>
  <c r="AC515" i="1"/>
  <c r="AD515" i="1"/>
  <c r="AE515" i="1"/>
  <c r="AF515" i="1"/>
  <c r="AG515" i="1"/>
  <c r="AH515" i="1"/>
  <c r="AJ515" i="1"/>
  <c r="AK515" i="1"/>
  <c r="AO515" i="1"/>
  <c r="AW515" i="1" s="1"/>
  <c r="AP515" i="1"/>
  <c r="J515" i="1" s="1"/>
  <c r="AX515" i="1"/>
  <c r="BD515" i="1"/>
  <c r="BF515" i="1"/>
  <c r="BH515" i="1"/>
  <c r="BI515" i="1"/>
  <c r="BJ515" i="1"/>
  <c r="Z515" i="1" s="1"/>
  <c r="K517" i="1"/>
  <c r="Z517" i="1"/>
  <c r="AB517" i="1"/>
  <c r="AC517" i="1"/>
  <c r="AD517" i="1"/>
  <c r="AE517" i="1"/>
  <c r="AF517" i="1"/>
  <c r="AG517" i="1"/>
  <c r="AH517" i="1"/>
  <c r="AJ517" i="1"/>
  <c r="AK517" i="1"/>
  <c r="AL517" i="1"/>
  <c r="AO517" i="1"/>
  <c r="I517" i="1" s="1"/>
  <c r="AP517" i="1"/>
  <c r="J517" i="1" s="1"/>
  <c r="AW517" i="1"/>
  <c r="BD517" i="1"/>
  <c r="BF517" i="1"/>
  <c r="BH517" i="1"/>
  <c r="BI517" i="1"/>
  <c r="BJ517" i="1"/>
  <c r="J519" i="1"/>
  <c r="K519" i="1"/>
  <c r="AL519" i="1" s="1"/>
  <c r="AB519" i="1"/>
  <c r="AC519" i="1"/>
  <c r="AD519" i="1"/>
  <c r="AE519" i="1"/>
  <c r="AF519" i="1"/>
  <c r="AG519" i="1"/>
  <c r="AH519" i="1"/>
  <c r="AJ519" i="1"/>
  <c r="AK519" i="1"/>
  <c r="AO519" i="1"/>
  <c r="I519" i="1" s="1"/>
  <c r="AP519" i="1"/>
  <c r="AX519" i="1"/>
  <c r="BD519" i="1"/>
  <c r="BF519" i="1"/>
  <c r="BH519" i="1"/>
  <c r="BI519" i="1"/>
  <c r="BJ519" i="1"/>
  <c r="Z519" i="1" s="1"/>
  <c r="I521" i="1"/>
  <c r="J521" i="1"/>
  <c r="K521" i="1"/>
  <c r="Z521" i="1"/>
  <c r="AB521" i="1"/>
  <c r="AC521" i="1"/>
  <c r="AD521" i="1"/>
  <c r="AE521" i="1"/>
  <c r="AF521" i="1"/>
  <c r="AG521" i="1"/>
  <c r="AH521" i="1"/>
  <c r="AJ521" i="1"/>
  <c r="AK521" i="1"/>
  <c r="AL521" i="1"/>
  <c r="AO521" i="1"/>
  <c r="AP521" i="1"/>
  <c r="AX521" i="1" s="1"/>
  <c r="AW521" i="1"/>
  <c r="BC521" i="1" s="1"/>
  <c r="BD521" i="1"/>
  <c r="BF521" i="1"/>
  <c r="BH521" i="1"/>
  <c r="BI521" i="1"/>
  <c r="BJ521" i="1"/>
  <c r="I523" i="1"/>
  <c r="K523" i="1"/>
  <c r="AL523" i="1" s="1"/>
  <c r="AB523" i="1"/>
  <c r="AC523" i="1"/>
  <c r="AD523" i="1"/>
  <c r="AE523" i="1"/>
  <c r="AF523" i="1"/>
  <c r="AG523" i="1"/>
  <c r="AH523" i="1"/>
  <c r="AJ523" i="1"/>
  <c r="AK523" i="1"/>
  <c r="AO523" i="1"/>
  <c r="AW523" i="1" s="1"/>
  <c r="AP523" i="1"/>
  <c r="J523" i="1" s="1"/>
  <c r="AX523" i="1"/>
  <c r="BD523" i="1"/>
  <c r="BF523" i="1"/>
  <c r="BH523" i="1"/>
  <c r="BI523" i="1"/>
  <c r="BJ523" i="1"/>
  <c r="Z523" i="1" s="1"/>
  <c r="AX33" i="1" l="1"/>
  <c r="BC485" i="1"/>
  <c r="AV485" i="1"/>
  <c r="AV443" i="1"/>
  <c r="BC443" i="1"/>
  <c r="BC507" i="1"/>
  <c r="AV507" i="1"/>
  <c r="AU504" i="1"/>
  <c r="I465" i="1"/>
  <c r="AV523" i="1"/>
  <c r="BC523" i="1"/>
  <c r="AV515" i="1"/>
  <c r="BC515" i="1"/>
  <c r="BC505" i="1"/>
  <c r="I504" i="1"/>
  <c r="AV502" i="1"/>
  <c r="BC502" i="1"/>
  <c r="BC463" i="1"/>
  <c r="AV456" i="1"/>
  <c r="BC454" i="1"/>
  <c r="AV454" i="1"/>
  <c r="I411" i="1"/>
  <c r="AV509" i="1"/>
  <c r="AV471" i="1"/>
  <c r="BC471" i="1"/>
  <c r="J465" i="1"/>
  <c r="BC440" i="1"/>
  <c r="BI499" i="1"/>
  <c r="J392" i="1"/>
  <c r="AV327" i="1"/>
  <c r="BC327" i="1"/>
  <c r="AX310" i="1"/>
  <c r="BC310" i="1" s="1"/>
  <c r="J310" i="1"/>
  <c r="I215" i="1"/>
  <c r="I214" i="1" s="1"/>
  <c r="AW215" i="1"/>
  <c r="BH215" i="1"/>
  <c r="AD215" i="1" s="1"/>
  <c r="BC198" i="1"/>
  <c r="AV198" i="1"/>
  <c r="AV521" i="1"/>
  <c r="AW519" i="1"/>
  <c r="AX517" i="1"/>
  <c r="BC517" i="1" s="1"/>
  <c r="AV513" i="1"/>
  <c r="AW511" i="1"/>
  <c r="AX509" i="1"/>
  <c r="BC509" i="1" s="1"/>
  <c r="AV505" i="1"/>
  <c r="K504" i="1"/>
  <c r="AX499" i="1"/>
  <c r="BC499" i="1" s="1"/>
  <c r="AW492" i="1"/>
  <c r="AX488" i="1"/>
  <c r="BC488" i="1" s="1"/>
  <c r="AV482" i="1"/>
  <c r="AW478" i="1"/>
  <c r="AX475" i="1"/>
  <c r="BC475" i="1" s="1"/>
  <c r="AV468" i="1"/>
  <c r="AW466" i="1"/>
  <c r="AL466" i="1"/>
  <c r="AU465" i="1" s="1"/>
  <c r="AV463" i="1"/>
  <c r="AW458" i="1"/>
  <c r="AX456" i="1"/>
  <c r="BC456" i="1" s="1"/>
  <c r="AV452" i="1"/>
  <c r="AW450" i="1"/>
  <c r="AX447" i="1"/>
  <c r="BC447" i="1" s="1"/>
  <c r="AV440" i="1"/>
  <c r="AW437" i="1"/>
  <c r="BI428" i="1"/>
  <c r="AC428" i="1" s="1"/>
  <c r="J428" i="1"/>
  <c r="J411" i="1" s="1"/>
  <c r="AV417" i="1"/>
  <c r="J414" i="1"/>
  <c r="BH412" i="1"/>
  <c r="AB412" i="1" s="1"/>
  <c r="AW412" i="1"/>
  <c r="AL412" i="1"/>
  <c r="AU411" i="1" s="1"/>
  <c r="J409" i="1"/>
  <c r="BH399" i="1"/>
  <c r="AB399" i="1" s="1"/>
  <c r="AW399" i="1"/>
  <c r="AX397" i="1"/>
  <c r="AV393" i="1"/>
  <c r="BC393" i="1"/>
  <c r="AT392" i="1"/>
  <c r="K361" i="1"/>
  <c r="AL356" i="1"/>
  <c r="AU355" i="1" s="1"/>
  <c r="K355" i="1"/>
  <c r="AW330" i="1"/>
  <c r="I330" i="1"/>
  <c r="I329" i="1" s="1"/>
  <c r="AV318" i="1"/>
  <c r="AV316" i="1"/>
  <c r="AW312" i="1"/>
  <c r="I312" i="1"/>
  <c r="I302" i="1"/>
  <c r="BH302" i="1"/>
  <c r="AD302" i="1" s="1"/>
  <c r="AW302" i="1"/>
  <c r="AV300" i="1"/>
  <c r="BC300" i="1"/>
  <c r="AX276" i="1"/>
  <c r="BC276" i="1" s="1"/>
  <c r="J276" i="1"/>
  <c r="J275" i="1" s="1"/>
  <c r="BI276" i="1"/>
  <c r="AE276" i="1" s="1"/>
  <c r="AW268" i="1"/>
  <c r="I268" i="1"/>
  <c r="BH268" i="1"/>
  <c r="AD268" i="1" s="1"/>
  <c r="J254" i="1"/>
  <c r="AX254" i="1"/>
  <c r="BC254" i="1" s="1"/>
  <c r="BI254" i="1"/>
  <c r="AE254" i="1" s="1"/>
  <c r="AU221" i="1"/>
  <c r="BC156" i="1"/>
  <c r="BI456" i="1"/>
  <c r="AC456" i="1" s="1"/>
  <c r="J329" i="1"/>
  <c r="AW325" i="1"/>
  <c r="I325" i="1"/>
  <c r="I324" i="1" s="1"/>
  <c r="J509" i="1"/>
  <c r="J504" i="1" s="1"/>
  <c r="BH485" i="1"/>
  <c r="AB485" i="1" s="1"/>
  <c r="J447" i="1"/>
  <c r="K392" i="1"/>
  <c r="AX374" i="1"/>
  <c r="BC374" i="1" s="1"/>
  <c r="J374" i="1"/>
  <c r="AX362" i="1"/>
  <c r="BC362" i="1" s="1"/>
  <c r="J362" i="1"/>
  <c r="J361" i="1" s="1"/>
  <c r="AS361" i="1"/>
  <c r="AL325" i="1"/>
  <c r="AU324" i="1" s="1"/>
  <c r="K324" i="1"/>
  <c r="AX318" i="1"/>
  <c r="BC318" i="1" s="1"/>
  <c r="J318" i="1"/>
  <c r="BI310" i="1"/>
  <c r="AE310" i="1" s="1"/>
  <c r="AX298" i="1"/>
  <c r="BC298" i="1" s="1"/>
  <c r="J298" i="1"/>
  <c r="BI298" i="1"/>
  <c r="AE298" i="1" s="1"/>
  <c r="AW296" i="1"/>
  <c r="BH296" i="1"/>
  <c r="AD296" i="1" s="1"/>
  <c r="AS278" i="1"/>
  <c r="AL279" i="1"/>
  <c r="AU278" i="1" s="1"/>
  <c r="K278" i="1"/>
  <c r="J230" i="1"/>
  <c r="J221" i="1" s="1"/>
  <c r="AX230" i="1"/>
  <c r="BC230" i="1" s="1"/>
  <c r="BI230" i="1"/>
  <c r="AE230" i="1" s="1"/>
  <c r="I186" i="1"/>
  <c r="AW186" i="1"/>
  <c r="BH186" i="1"/>
  <c r="AW428" i="1"/>
  <c r="BI417" i="1"/>
  <c r="AC417" i="1" s="1"/>
  <c r="I397" i="1"/>
  <c r="I392" i="1" s="1"/>
  <c r="AW397" i="1"/>
  <c r="AV378" i="1"/>
  <c r="BC378" i="1"/>
  <c r="AW376" i="1"/>
  <c r="I376" i="1"/>
  <c r="AV370" i="1"/>
  <c r="BC370" i="1"/>
  <c r="AW368" i="1"/>
  <c r="I368" i="1"/>
  <c r="I361" i="1"/>
  <c r="AW356" i="1"/>
  <c r="I356" i="1"/>
  <c r="I355" i="1" s="1"/>
  <c r="AV332" i="1"/>
  <c r="BC332" i="1"/>
  <c r="AL330" i="1"/>
  <c r="AU329" i="1" s="1"/>
  <c r="K329" i="1"/>
  <c r="BH325" i="1"/>
  <c r="AD325" i="1" s="1"/>
  <c r="J324" i="1"/>
  <c r="AV322" i="1"/>
  <c r="BC322" i="1"/>
  <c r="AW320" i="1"/>
  <c r="I320" i="1"/>
  <c r="AV314" i="1"/>
  <c r="BC314" i="1"/>
  <c r="AV310" i="1"/>
  <c r="AT278" i="1"/>
  <c r="AX294" i="1"/>
  <c r="BC294" i="1" s="1"/>
  <c r="J294" i="1"/>
  <c r="J278" i="1" s="1"/>
  <c r="BI294" i="1"/>
  <c r="AE294" i="1" s="1"/>
  <c r="I172" i="1"/>
  <c r="I134" i="1"/>
  <c r="I133" i="1" s="1"/>
  <c r="AW134" i="1"/>
  <c r="BH134" i="1"/>
  <c r="AB134" i="1" s="1"/>
  <c r="J127" i="1"/>
  <c r="AX127" i="1"/>
  <c r="BC127" i="1" s="1"/>
  <c r="BI127" i="1"/>
  <c r="AC127" i="1" s="1"/>
  <c r="AV101" i="1"/>
  <c r="BC101" i="1"/>
  <c r="AX395" i="1"/>
  <c r="BC395" i="1" s="1"/>
  <c r="AX390" i="1"/>
  <c r="AV390" i="1" s="1"/>
  <c r="I273" i="1"/>
  <c r="J262" i="1"/>
  <c r="AX262" i="1"/>
  <c r="BC262" i="1" s="1"/>
  <c r="J246" i="1"/>
  <c r="AX246" i="1"/>
  <c r="BC246" i="1" s="1"/>
  <c r="BC217" i="1"/>
  <c r="AV217" i="1"/>
  <c r="K214" i="1"/>
  <c r="AL215" i="1"/>
  <c r="AU214" i="1" s="1"/>
  <c r="J207" i="1"/>
  <c r="J204" i="1" s="1"/>
  <c r="AX207" i="1"/>
  <c r="BC207" i="1" s="1"/>
  <c r="K204" i="1"/>
  <c r="J202" i="1"/>
  <c r="AX202" i="1"/>
  <c r="BC202" i="1" s="1"/>
  <c r="AS191" i="1"/>
  <c r="J189" i="1"/>
  <c r="J188" i="1" s="1"/>
  <c r="AX189" i="1"/>
  <c r="J183" i="1"/>
  <c r="AX183" i="1"/>
  <c r="AL395" i="1"/>
  <c r="AU392" i="1" s="1"/>
  <c r="AW306" i="1"/>
  <c r="AV304" i="1"/>
  <c r="BI300" i="1"/>
  <c r="AE300" i="1" s="1"/>
  <c r="I300" i="1"/>
  <c r="AV294" i="1"/>
  <c r="J271" i="1"/>
  <c r="I264" i="1"/>
  <c r="AW264" i="1"/>
  <c r="BC258" i="1"/>
  <c r="AV258" i="1"/>
  <c r="AV254" i="1"/>
  <c r="AV252" i="1"/>
  <c r="I248" i="1"/>
  <c r="AW248" i="1"/>
  <c r="BC242" i="1"/>
  <c r="AV242" i="1"/>
  <c r="AV230" i="1"/>
  <c r="AV228" i="1"/>
  <c r="J214" i="1"/>
  <c r="BC212" i="1"/>
  <c r="AV212" i="1"/>
  <c r="I210" i="1"/>
  <c r="AW210" i="1"/>
  <c r="J194" i="1"/>
  <c r="J191" i="1" s="1"/>
  <c r="AX194" i="1"/>
  <c r="K191" i="1"/>
  <c r="AX164" i="1"/>
  <c r="BC164" i="1" s="1"/>
  <c r="BI164" i="1"/>
  <c r="AE164" i="1" s="1"/>
  <c r="J164" i="1"/>
  <c r="BC152" i="1"/>
  <c r="AV152" i="1"/>
  <c r="AT137" i="1"/>
  <c r="C18" i="2"/>
  <c r="I279" i="1"/>
  <c r="I278" i="1" s="1"/>
  <c r="AV271" i="1"/>
  <c r="BC266" i="1"/>
  <c r="AV266" i="1"/>
  <c r="AV262" i="1"/>
  <c r="AV260" i="1"/>
  <c r="I256" i="1"/>
  <c r="AW256" i="1"/>
  <c r="BC250" i="1"/>
  <c r="AV250" i="1"/>
  <c r="AV246" i="1"/>
  <c r="AV244" i="1"/>
  <c r="I234" i="1"/>
  <c r="I221" i="1" s="1"/>
  <c r="AW234" i="1"/>
  <c r="BC222" i="1"/>
  <c r="AV222" i="1"/>
  <c r="AT221" i="1"/>
  <c r="AV207" i="1"/>
  <c r="AV205" i="1"/>
  <c r="I204" i="1"/>
  <c r="AV202" i="1"/>
  <c r="I196" i="1"/>
  <c r="I191" i="1" s="1"/>
  <c r="AW196" i="1"/>
  <c r="AT191" i="1"/>
  <c r="BC175" i="1"/>
  <c r="AV175" i="1"/>
  <c r="J172" i="1"/>
  <c r="AS172" i="1"/>
  <c r="AX156" i="1"/>
  <c r="BI156" i="1"/>
  <c r="AE156" i="1" s="1"/>
  <c r="J156" i="1"/>
  <c r="I33" i="1"/>
  <c r="I32" i="1" s="1"/>
  <c r="AW33" i="1"/>
  <c r="BH33" i="1"/>
  <c r="AB33" i="1" s="1"/>
  <c r="K221" i="1"/>
  <c r="I150" i="1"/>
  <c r="AW150" i="1"/>
  <c r="K137" i="1"/>
  <c r="AL141" i="1"/>
  <c r="AU137" i="1" s="1"/>
  <c r="J138" i="1"/>
  <c r="AX138" i="1"/>
  <c r="BC138" i="1" s="1"/>
  <c r="AS137" i="1"/>
  <c r="K133" i="1"/>
  <c r="AL134" i="1"/>
  <c r="AU133" i="1" s="1"/>
  <c r="BC131" i="1"/>
  <c r="AV131" i="1"/>
  <c r="AV65" i="1"/>
  <c r="BC13" i="1"/>
  <c r="AV13" i="1"/>
  <c r="C21" i="2"/>
  <c r="AX200" i="1"/>
  <c r="BC200" i="1" s="1"/>
  <c r="AW194" i="1"/>
  <c r="AX192" i="1"/>
  <c r="AW189" i="1"/>
  <c r="AL189" i="1"/>
  <c r="AU188" i="1" s="1"/>
  <c r="AW183" i="1"/>
  <c r="BI173" i="1"/>
  <c r="AE173" i="1" s="1"/>
  <c r="K172" i="1"/>
  <c r="AV168" i="1"/>
  <c r="AV160" i="1"/>
  <c r="AV148" i="1"/>
  <c r="BC143" i="1"/>
  <c r="AV143" i="1"/>
  <c r="AV106" i="1"/>
  <c r="BC106" i="1"/>
  <c r="AL67" i="1"/>
  <c r="AU62" i="1" s="1"/>
  <c r="K62" i="1"/>
  <c r="AV55" i="1"/>
  <c r="I28" i="1"/>
  <c r="I24" i="1" s="1"/>
  <c r="AW28" i="1"/>
  <c r="BH28" i="1"/>
  <c r="AB28" i="1" s="1"/>
  <c r="I22" i="1"/>
  <c r="I18" i="1" s="1"/>
  <c r="AW22" i="1"/>
  <c r="BH22" i="1"/>
  <c r="AB22" i="1" s="1"/>
  <c r="I16" i="1"/>
  <c r="I15" i="1" s="1"/>
  <c r="AW16" i="1"/>
  <c r="BH16" i="1"/>
  <c r="AB16" i="1" s="1"/>
  <c r="AX173" i="1"/>
  <c r="BC173" i="1" s="1"/>
  <c r="BH166" i="1"/>
  <c r="AD166" i="1" s="1"/>
  <c r="AV166" i="1"/>
  <c r="AV164" i="1"/>
  <c r="BC162" i="1"/>
  <c r="I162" i="1"/>
  <c r="BH158" i="1"/>
  <c r="AD158" i="1" s="1"/>
  <c r="AV158" i="1"/>
  <c r="AV156" i="1"/>
  <c r="BC154" i="1"/>
  <c r="J148" i="1"/>
  <c r="AX148" i="1"/>
  <c r="BC148" i="1" s="1"/>
  <c r="AV145" i="1"/>
  <c r="I141" i="1"/>
  <c r="I137" i="1" s="1"/>
  <c r="AW141" i="1"/>
  <c r="BI138" i="1"/>
  <c r="AE138" i="1" s="1"/>
  <c r="C17" i="2" s="1"/>
  <c r="I129" i="1"/>
  <c r="AW129" i="1"/>
  <c r="AV127" i="1"/>
  <c r="AX113" i="1"/>
  <c r="BC113" i="1" s="1"/>
  <c r="BI113" i="1"/>
  <c r="AC113" i="1" s="1"/>
  <c r="C15" i="2" s="1"/>
  <c r="J113" i="1"/>
  <c r="AW103" i="1"/>
  <c r="BH103" i="1"/>
  <c r="AB103" i="1" s="1"/>
  <c r="I103" i="1"/>
  <c r="I62" i="1" s="1"/>
  <c r="AV60" i="1"/>
  <c r="BC30" i="1"/>
  <c r="AV30" i="1"/>
  <c r="BI121" i="1"/>
  <c r="AC121" i="1" s="1"/>
  <c r="BC121" i="1"/>
  <c r="BC115" i="1"/>
  <c r="I111" i="1"/>
  <c r="BH93" i="1"/>
  <c r="AB93" i="1" s="1"/>
  <c r="AV91" i="1"/>
  <c r="J82" i="1"/>
  <c r="AX82" i="1"/>
  <c r="BC82" i="1" s="1"/>
  <c r="J65" i="1"/>
  <c r="J62" i="1" s="1"/>
  <c r="AX65" i="1"/>
  <c r="BC65" i="1" s="1"/>
  <c r="J60" i="1"/>
  <c r="J57" i="1" s="1"/>
  <c r="AX60" i="1"/>
  <c r="BC60" i="1" s="1"/>
  <c r="J55" i="1"/>
  <c r="J54" i="1" s="1"/>
  <c r="AX55" i="1"/>
  <c r="BC55" i="1" s="1"/>
  <c r="AV48" i="1"/>
  <c r="C27" i="2"/>
  <c r="I89" i="1"/>
  <c r="AW89" i="1"/>
  <c r="BC69" i="1"/>
  <c r="AV69" i="1"/>
  <c r="I67" i="1"/>
  <c r="AW67" i="1"/>
  <c r="AT62" i="1"/>
  <c r="J48" i="1"/>
  <c r="J40" i="1" s="1"/>
  <c r="AX48" i="1"/>
  <c r="BC48" i="1" s="1"/>
  <c r="J38" i="1"/>
  <c r="J37" i="1" s="1"/>
  <c r="AX38" i="1"/>
  <c r="BC38" i="1" s="1"/>
  <c r="K32" i="1"/>
  <c r="AL33" i="1"/>
  <c r="AU32" i="1" s="1"/>
  <c r="K24" i="1"/>
  <c r="K18" i="1"/>
  <c r="K15" i="1"/>
  <c r="AL16" i="1"/>
  <c r="C20" i="2"/>
  <c r="C16" i="2"/>
  <c r="AW124" i="1"/>
  <c r="AV113" i="1"/>
  <c r="BC93" i="1"/>
  <c r="AS62" i="1"/>
  <c r="I52" i="1"/>
  <c r="I40" i="1" s="1"/>
  <c r="AW52" i="1"/>
  <c r="J25" i="1"/>
  <c r="J24" i="1" s="1"/>
  <c r="AX25" i="1"/>
  <c r="BC25" i="1" s="1"/>
  <c r="J19" i="1"/>
  <c r="J18" i="1" s="1"/>
  <c r="AX19" i="1"/>
  <c r="BC19" i="1" s="1"/>
  <c r="C19" i="2"/>
  <c r="C28" i="2"/>
  <c r="F28" i="2" s="1"/>
  <c r="BC150" i="1" l="1"/>
  <c r="AV150" i="1"/>
  <c r="BC210" i="1"/>
  <c r="AV210" i="1"/>
  <c r="BC264" i="1"/>
  <c r="AV264" i="1"/>
  <c r="BC134" i="1"/>
  <c r="AV134" i="1"/>
  <c r="BC368" i="1"/>
  <c r="AV368" i="1"/>
  <c r="BC376" i="1"/>
  <c r="AV376" i="1"/>
  <c r="BC186" i="1"/>
  <c r="AV186" i="1"/>
  <c r="AV302" i="1"/>
  <c r="BC302" i="1"/>
  <c r="BC312" i="1"/>
  <c r="AV312" i="1"/>
  <c r="BC330" i="1"/>
  <c r="AV330" i="1"/>
  <c r="AV362" i="1"/>
  <c r="BC412" i="1"/>
  <c r="AV412" i="1"/>
  <c r="BC458" i="1"/>
  <c r="AV458" i="1"/>
  <c r="AV173" i="1"/>
  <c r="BC215" i="1"/>
  <c r="AV215" i="1"/>
  <c r="AV499" i="1"/>
  <c r="BC124" i="1"/>
  <c r="AV124" i="1"/>
  <c r="AV25" i="1"/>
  <c r="BC67" i="1"/>
  <c r="AV67" i="1"/>
  <c r="BC89" i="1"/>
  <c r="AV89" i="1"/>
  <c r="AV38" i="1"/>
  <c r="C14" i="2"/>
  <c r="C22" i="2" s="1"/>
  <c r="BC22" i="1"/>
  <c r="AV22" i="1"/>
  <c r="AV189" i="1"/>
  <c r="BC189" i="1"/>
  <c r="J137" i="1"/>
  <c r="BC33" i="1"/>
  <c r="AV33" i="1"/>
  <c r="AV200" i="1"/>
  <c r="BC234" i="1"/>
  <c r="AV234" i="1"/>
  <c r="AV298" i="1"/>
  <c r="BC306" i="1"/>
  <c r="AV306" i="1"/>
  <c r="BC356" i="1"/>
  <c r="AV356" i="1"/>
  <c r="BC296" i="1"/>
  <c r="AV296" i="1"/>
  <c r="AV395" i="1"/>
  <c r="BC268" i="1"/>
  <c r="AV268" i="1"/>
  <c r="AV374" i="1"/>
  <c r="BC450" i="1"/>
  <c r="AV450" i="1"/>
  <c r="BC492" i="1"/>
  <c r="AV492" i="1"/>
  <c r="BC519" i="1"/>
  <c r="AV519" i="1"/>
  <c r="AV475" i="1"/>
  <c r="AV447" i="1"/>
  <c r="BC103" i="1"/>
  <c r="AV103" i="1"/>
  <c r="BC141" i="1"/>
  <c r="AV141" i="1"/>
  <c r="BC16" i="1"/>
  <c r="AV16" i="1"/>
  <c r="BC192" i="1"/>
  <c r="AV192" i="1"/>
  <c r="AV138" i="1"/>
  <c r="BC248" i="1"/>
  <c r="AV248" i="1"/>
  <c r="AV428" i="1"/>
  <c r="BC428" i="1"/>
  <c r="BC325" i="1"/>
  <c r="AV325" i="1"/>
  <c r="BC437" i="1"/>
  <c r="AV437" i="1"/>
  <c r="BC478" i="1"/>
  <c r="AV478" i="1"/>
  <c r="BC511" i="1"/>
  <c r="AV511" i="1"/>
  <c r="AV488" i="1"/>
  <c r="BC52" i="1"/>
  <c r="AV52" i="1"/>
  <c r="AV19" i="1"/>
  <c r="AV82" i="1"/>
  <c r="BC129" i="1"/>
  <c r="AV129" i="1"/>
  <c r="AV183" i="1"/>
  <c r="BC183" i="1"/>
  <c r="AV194" i="1"/>
  <c r="BC194" i="1"/>
  <c r="BC196" i="1"/>
  <c r="AV196" i="1"/>
  <c r="BC256" i="1"/>
  <c r="AV256" i="1"/>
  <c r="AV276" i="1"/>
  <c r="BC320" i="1"/>
  <c r="AV320" i="1"/>
  <c r="AV397" i="1"/>
  <c r="BC397" i="1"/>
  <c r="BC390" i="1"/>
  <c r="BC399" i="1"/>
  <c r="AV399" i="1"/>
  <c r="BC466" i="1"/>
  <c r="AV466" i="1"/>
  <c r="AV517" i="1"/>
  <c r="AU15" i="1"/>
  <c r="C29" i="2"/>
  <c r="F29" i="2" s="1"/>
  <c r="BC28" i="1"/>
  <c r="AV28" i="1"/>
  <c r="I28" i="2" l="1"/>
  <c r="I29" i="2" s="1"/>
</calcChain>
</file>

<file path=xl/sharedStrings.xml><?xml version="1.0" encoding="utf-8"?>
<sst xmlns="http://schemas.openxmlformats.org/spreadsheetml/2006/main" count="2033" uniqueCount="957">
  <si>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</si>
  <si>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</si>
  <si>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</si>
  <si>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</si>
  <si>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</si>
  <si>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</si>
  <si>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</si>
  <si>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</si>
  <si>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</si>
  <si>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</si>
  <si>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</si>
  <si>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</si>
  <si>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</si>
  <si>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</si>
  <si>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</si>
  <si>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</si>
  <si>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</si>
  <si>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</si>
  <si>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</si>
  <si>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</si>
  <si>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</si>
  <si>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</si>
  <si>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</si>
  <si>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</si>
  <si>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</si>
  <si>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</si>
  <si>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</si>
  <si>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</si>
  <si>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</si>
  <si>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</si>
  <si>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</si>
  <si>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</si>
  <si>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</si>
  <si>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</si>
  <si>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</si>
  <si>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</si>
  <si>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</si>
  <si>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</si>
  <si>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</si>
  <si>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</si>
  <si>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</si>
  <si>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</si>
  <si>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</si>
  <si>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</si>
  <si>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</si>
  <si>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</si>
  <si>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</si>
  <si>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</si>
  <si>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</si>
  <si>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</si>
  <si>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</si>
  <si>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</si>
  <si>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</si>
  <si>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</si>
  <si>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</si>
  <si>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</si>
  <si>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</si>
  <si>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</si>
  <si>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</si>
  <si>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</si>
  <si>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</si>
  <si>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</si>
  <si>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</si>
  <si>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</si>
  <si>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</si>
  <si>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</si>
  <si>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</si>
  <si>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</si>
  <si>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</si>
  <si>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</si>
  <si>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</si>
  <si>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</si>
  <si>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</si>
  <si>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</si>
  <si>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</si>
  <si>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</si>
  <si>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</si>
  <si>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</si>
  <si>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</si>
  <si>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</si>
  <si>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</si>
  <si>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</si>
  <si>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</si>
  <si>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</si>
  <si>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</si>
  <si>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</si>
  <si>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</si>
  <si>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</si>
  <si>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</si>
  <si>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</si>
  <si>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</si>
  <si>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</si>
  <si>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</si>
  <si>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</si>
  <si>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</si>
  <si>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</si>
  <si>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</si>
  <si>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</si>
  <si>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</si>
  <si>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</si>
  <si>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</si>
  <si>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</si>
  <si>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</si>
  <si>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</si>
  <si>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</si>
  <si>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</si>
  <si>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</si>
  <si>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</si>
  <si>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</si>
  <si>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</si>
  <si>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</si>
  <si>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</si>
  <si>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</si>
  <si>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</si>
  <si>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</si>
  <si>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</si>
  <si>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</si>
  <si>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</si>
  <si>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</si>
  <si>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</si>
  <si>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</si>
  <si>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</si>
  <si>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</si>
  <si>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</si>
  <si>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</si>
  <si>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</si>
  <si>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</si>
  <si>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</si>
  <si>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</si>
  <si>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</si>
  <si>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</si>
  <si>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</si>
  <si>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</si>
  <si>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</si>
  <si>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</si>
  <si>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</si>
  <si>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</si>
  <si>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</si>
  <si>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</si>
  <si>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</si>
  <si>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</si>
  <si>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</si>
  <si>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</si>
  <si>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</si>
  <si>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</si>
  <si>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</si>
  <si>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</si>
  <si>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</si>
  <si>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</si>
  <si>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</si>
  <si>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</si>
  <si>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</si>
  <si>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</si>
  <si>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</si>
  <si>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</si>
  <si>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</si>
  <si>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</si>
  <si>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</si>
  <si>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</si>
  <si>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</si>
  <si>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</si>
  <si>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</si>
  <si>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</si>
  <si>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</si>
  <si>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</si>
  <si>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</si>
  <si>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</si>
  <si>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</si>
  <si>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Poznámka:</t>
  </si>
  <si>
    <t>Kód</t>
  </si>
  <si>
    <t>100001500R00</t>
  </si>
  <si>
    <t>139600013RA0</t>
  </si>
  <si>
    <t>167101101R00</t>
  </si>
  <si>
    <t>162701105R00</t>
  </si>
  <si>
    <t>174101101R00</t>
  </si>
  <si>
    <t>171201201R00</t>
  </si>
  <si>
    <t>199000002R00</t>
  </si>
  <si>
    <t>202110015VD</t>
  </si>
  <si>
    <t>278381541R00</t>
  </si>
  <si>
    <t>342264051RT1</t>
  </si>
  <si>
    <t>954312305R00</t>
  </si>
  <si>
    <t>954313305R00</t>
  </si>
  <si>
    <t>596100030RA0</t>
  </si>
  <si>
    <t>612100020RA0</t>
  </si>
  <si>
    <t>612425931R00</t>
  </si>
  <si>
    <t>622421493R00</t>
  </si>
  <si>
    <t>622311524RV1</t>
  </si>
  <si>
    <t>622311734RT3</t>
  </si>
  <si>
    <t>622311134RT3</t>
  </si>
  <si>
    <t>622311353RT3</t>
  </si>
  <si>
    <t>622311563R00</t>
  </si>
  <si>
    <t>622481113R00</t>
  </si>
  <si>
    <t>620991121R00</t>
  </si>
  <si>
    <t>622432111R00</t>
  </si>
  <si>
    <t>622481292R00</t>
  </si>
  <si>
    <t>28350203</t>
  </si>
  <si>
    <t>28350107.A</t>
  </si>
  <si>
    <t>622481291R00</t>
  </si>
  <si>
    <t>55392762</t>
  </si>
  <si>
    <t>622473187RT2</t>
  </si>
  <si>
    <t>622904112R00</t>
  </si>
  <si>
    <t>622401937R00</t>
  </si>
  <si>
    <t>622429991R00</t>
  </si>
  <si>
    <t>622311014R00</t>
  </si>
  <si>
    <t>648952421RT3</t>
  </si>
  <si>
    <t>712</t>
  </si>
  <si>
    <t>712300831R00</t>
  </si>
  <si>
    <t>712300832R00</t>
  </si>
  <si>
    <t>764291410R00</t>
  </si>
  <si>
    <t>712378006R00</t>
  </si>
  <si>
    <t>712378007R00</t>
  </si>
  <si>
    <t>711823129R00</t>
  </si>
  <si>
    <t>58556701.A</t>
  </si>
  <si>
    <t>712378101RT4</t>
  </si>
  <si>
    <t>712110011VD</t>
  </si>
  <si>
    <t>712351111R00</t>
  </si>
  <si>
    <t>62852269</t>
  </si>
  <si>
    <t>712391171R00</t>
  </si>
  <si>
    <t>69366198</t>
  </si>
  <si>
    <t>712472101R00</t>
  </si>
  <si>
    <t>283220012</t>
  </si>
  <si>
    <t>998712103R00</t>
  </si>
  <si>
    <t>713</t>
  </si>
  <si>
    <t>713104222R00</t>
  </si>
  <si>
    <t>713141312R00</t>
  </si>
  <si>
    <t>28375769.A</t>
  </si>
  <si>
    <t>63151377.A</t>
  </si>
  <si>
    <t>998713103R00</t>
  </si>
  <si>
    <t>721</t>
  </si>
  <si>
    <t>721210823R00</t>
  </si>
  <si>
    <t>728</t>
  </si>
  <si>
    <t>728415816R00</t>
  </si>
  <si>
    <t>728618811R00</t>
  </si>
  <si>
    <t>728618215R00</t>
  </si>
  <si>
    <t>728314111R00</t>
  </si>
  <si>
    <t>553432903</t>
  </si>
  <si>
    <t>998728103R00</t>
  </si>
  <si>
    <t>762</t>
  </si>
  <si>
    <t>762510010RAI</t>
  </si>
  <si>
    <t>60725016</t>
  </si>
  <si>
    <t>762526110RT3</t>
  </si>
  <si>
    <t>998762102R00</t>
  </si>
  <si>
    <t>763</t>
  </si>
  <si>
    <t>763613212R00</t>
  </si>
  <si>
    <t>606233006</t>
  </si>
  <si>
    <t>998763101R00</t>
  </si>
  <si>
    <t>764</t>
  </si>
  <si>
    <t>764900050RA0</t>
  </si>
  <si>
    <t>764321820R00</t>
  </si>
  <si>
    <t>764311831R00</t>
  </si>
  <si>
    <t>764410310RAB</t>
  </si>
  <si>
    <t>764211401R00</t>
  </si>
  <si>
    <t>764454801R00</t>
  </si>
  <si>
    <t>764556711R00</t>
  </si>
  <si>
    <t>764359810R00</t>
  </si>
  <si>
    <t>764900035RA0</t>
  </si>
  <si>
    <t>764351836R00</t>
  </si>
  <si>
    <t>764554410RAB</t>
  </si>
  <si>
    <t>764359312R00</t>
  </si>
  <si>
    <t>764551492R00</t>
  </si>
  <si>
    <t>5535128520</t>
  </si>
  <si>
    <t>764251405R00</t>
  </si>
  <si>
    <t>764252492R00</t>
  </si>
  <si>
    <t>55351590</t>
  </si>
  <si>
    <t>764211010RA0</t>
  </si>
  <si>
    <t>764221115VD</t>
  </si>
  <si>
    <t>998764103R00</t>
  </si>
  <si>
    <t>765</t>
  </si>
  <si>
    <t>765321810R00</t>
  </si>
  <si>
    <t>766</t>
  </si>
  <si>
    <t>766629310R00</t>
  </si>
  <si>
    <t>611221142VD</t>
  </si>
  <si>
    <t>611221143VD</t>
  </si>
  <si>
    <t>611221144VD</t>
  </si>
  <si>
    <t>611110032VD</t>
  </si>
  <si>
    <t>611221145VD</t>
  </si>
  <si>
    <t>611221146VD</t>
  </si>
  <si>
    <t>611110014VD</t>
  </si>
  <si>
    <t>611110015VD</t>
  </si>
  <si>
    <t>611110016VD</t>
  </si>
  <si>
    <t>611221148VD</t>
  </si>
  <si>
    <t>611221149VD</t>
  </si>
  <si>
    <t>611221150VD</t>
  </si>
  <si>
    <t>611221151VD</t>
  </si>
  <si>
    <t>998766103R00</t>
  </si>
  <si>
    <t>767</t>
  </si>
  <si>
    <t>001111130VD</t>
  </si>
  <si>
    <t>998767103R00</t>
  </si>
  <si>
    <t>784</t>
  </si>
  <si>
    <t>784433271R00</t>
  </si>
  <si>
    <t>784442021RT2</t>
  </si>
  <si>
    <t>786</t>
  </si>
  <si>
    <t>786221100VD</t>
  </si>
  <si>
    <t>941941042R00</t>
  </si>
  <si>
    <t>941941292R00</t>
  </si>
  <si>
    <t>941941842R00</t>
  </si>
  <si>
    <t>944944011R00</t>
  </si>
  <si>
    <t>944944031R00</t>
  </si>
  <si>
    <t>944944081R00</t>
  </si>
  <si>
    <t>941955001R00</t>
  </si>
  <si>
    <t>998009101R00</t>
  </si>
  <si>
    <t>952901411R00</t>
  </si>
  <si>
    <t>952901110R00</t>
  </si>
  <si>
    <t>952900001VD</t>
  </si>
  <si>
    <t>952900002VD</t>
  </si>
  <si>
    <t>965042131RT2</t>
  </si>
  <si>
    <t>962200041RA0</t>
  </si>
  <si>
    <t>968061112R00</t>
  </si>
  <si>
    <t>968062244R00</t>
  </si>
  <si>
    <t>968061113R00</t>
  </si>
  <si>
    <t>968062245R00</t>
  </si>
  <si>
    <t>968062247R00</t>
  </si>
  <si>
    <t>968062246R00</t>
  </si>
  <si>
    <t>968071125R00</t>
  </si>
  <si>
    <t>968071113R00</t>
  </si>
  <si>
    <t>968072456R00</t>
  </si>
  <si>
    <t>968072455R00</t>
  </si>
  <si>
    <t>968111119VD</t>
  </si>
  <si>
    <t>967031732R00</t>
  </si>
  <si>
    <t>968095002R00</t>
  </si>
  <si>
    <t>978059631R00</t>
  </si>
  <si>
    <t>971033441R00</t>
  </si>
  <si>
    <t>971033431R00</t>
  </si>
  <si>
    <t>971033341R00</t>
  </si>
  <si>
    <t>971033331R00</t>
  </si>
  <si>
    <t>972055341R00</t>
  </si>
  <si>
    <t>970251300R00</t>
  </si>
  <si>
    <t>970231200R00</t>
  </si>
  <si>
    <t>972054691R00</t>
  </si>
  <si>
    <t>H99</t>
  </si>
  <si>
    <t>999281108R00</t>
  </si>
  <si>
    <t>M46</t>
  </si>
  <si>
    <t>460620006RT1</t>
  </si>
  <si>
    <t>S</t>
  </si>
  <si>
    <t>979011111R00</t>
  </si>
  <si>
    <t>979082111R00</t>
  </si>
  <si>
    <t>979082212R00</t>
  </si>
  <si>
    <t>979087113R00</t>
  </si>
  <si>
    <t>979081111R00</t>
  </si>
  <si>
    <t>979081121R00</t>
  </si>
  <si>
    <t>979990121R00</t>
  </si>
  <si>
    <t>979990201R00</t>
  </si>
  <si>
    <t>979990144R00</t>
  </si>
  <si>
    <t>979990001R00</t>
  </si>
  <si>
    <t>SNÍŽENÍ ENERGETICKÉ NÁROČNOSTI BUDOVY 3. ZÁKLADNÍ ŠKOLY, CHEB</t>
  </si>
  <si>
    <t>Objekt 3 - učebny 2. stupeň</t>
  </si>
  <si>
    <t>Malé Náměstí 2287/3, 350 02 Cheb</t>
  </si>
  <si>
    <t>Zkrácený popis</t>
  </si>
  <si>
    <t>Rozměry</t>
  </si>
  <si>
    <t>Zemní práce</t>
  </si>
  <si>
    <t>Dočištění stěny</t>
  </si>
  <si>
    <t>65;viz zaterplení pod terénem;   </t>
  </si>
  <si>
    <t>Hloubené vykopávky</t>
  </si>
  <si>
    <t xml:space="preserve">Ruční odkopání kolem objektu		</t>
  </si>
  <si>
    <t>(37+27+32+8+6+8+12)*0,5*0,3;odkop zeminy;   </t>
  </si>
  <si>
    <t>Přemístění výkopku</t>
  </si>
  <si>
    <t>Nakládání výkopku z hor.1-4 v množství do 100 m3</t>
  </si>
  <si>
    <t>19,5;viz odkop;   </t>
  </si>
  <si>
    <t>-14,04;viz zásyp;   </t>
  </si>
  <si>
    <t>Vodorovné přemístění výkopku z hor.1-4 do 10000 m</t>
  </si>
  <si>
    <t>5,46;viz nakládání;   </t>
  </si>
  <si>
    <t>Konstrukce ze zemin</t>
  </si>
  <si>
    <t>Zásyp jam, rýh, šachet se zhutněním</t>
  </si>
  <si>
    <t>19,5   </t>
  </si>
  <si>
    <t>-(37+27+32+8+6+8+12)*0,14*0,3;zásyp;   </t>
  </si>
  <si>
    <t>Uložení sypaniny na skládku</t>
  </si>
  <si>
    <t>Poplatek za skládku</t>
  </si>
  <si>
    <t>5,46;viz uložení;   </t>
  </si>
  <si>
    <t>Manipulace s nábytkem</t>
  </si>
  <si>
    <t>Manipulace s nábytkem včetně zpětného osazení po úklidu prostor</t>
  </si>
  <si>
    <t>1;nábytek;   </t>
  </si>
  <si>
    <t>Základy</t>
  </si>
  <si>
    <t>Základy pod stroje do 5 m3, C 20/25, složitosti 1</t>
  </si>
  <si>
    <t>1,805*2,76*0,5*4;pro základ VZT v RZP;   </t>
  </si>
  <si>
    <t>Stěny a příčky</t>
  </si>
  <si>
    <t>Podhled sádrokartonový na zavěšenou ocel. konstr.desky standard tl. 12,5 mm, bez izolace</t>
  </si>
  <si>
    <t>22,70;122;   </t>
  </si>
  <si>
    <t>19,5;105;   </t>
  </si>
  <si>
    <t>14,1*(1,25+0,35)+1,25*0,35*2;218;   </t>
  </si>
  <si>
    <t>8,5*(1,1+0,35);205;   </t>
  </si>
  <si>
    <t>5,7*2,7+7,3*(1,25+0,35)+5,7*0,35*2;313;   </t>
  </si>
  <si>
    <t>34,1;306;   </t>
  </si>
  <si>
    <t>5,4+6,5+6,5+10+6,5+8,5+6,5+6,5;1np;   </t>
  </si>
  <si>
    <t>5,3+6,5+8,5+6,5+6,5+8,5+6+7,5+9+6,5+6,5+9,3;2np;   </t>
  </si>
  <si>
    <t>5,3+6,5*3+5,2+0,9+10+5,4+8+12+0,75+8+3,3;3np;   </t>
  </si>
  <si>
    <t>3,3*2;3np;   </t>
  </si>
  <si>
    <t>Kryty pozemních komunikací, letišť a ploch dlážděných (předlažby)</t>
  </si>
  <si>
    <t>Chodník z dlažby betonové, podklad štěrkodrť</t>
  </si>
  <si>
    <t>(37+12+7+6+9+32)*0,6;OCH;   </t>
  </si>
  <si>
    <t>Úprava povrchů vnitřní</t>
  </si>
  <si>
    <t>Začištění omítek kolem oken a dveří</t>
  </si>
  <si>
    <t>797,874;viz APU lišta;   </t>
  </si>
  <si>
    <t>Omítka vápenná vnitřního ostění - štuková</t>
  </si>
  <si>
    <t>797,874*0,5;omítka vnitřního ostění;   </t>
  </si>
  <si>
    <t>Úprava povrchů vnější</t>
  </si>
  <si>
    <t>Doplňky zatepl. systémů, dilatační lišta s tkan.</t>
  </si>
  <si>
    <t>16*2;SP;   </t>
  </si>
  <si>
    <t xml:space="preserve">Zateplovací systém, sokl, XPS tl. 140 mm bez omítky - pod terénem		</t>
  </si>
  <si>
    <t>(37+27+32+8+6+8+12)*0,5   </t>
  </si>
  <si>
    <t xml:space="preserve">Zateplovací systém, sokl, XPS tl. 140 mm zakončený stěrkou s výztužnou tkaninou - nad terénem		</t>
  </si>
  <si>
    <t>(37+27+32+8+6+8+12)*0,3   </t>
  </si>
  <si>
    <t>Zatepl.syst., fasáda, miner.desky tl. 140 mm s omítkou Silikon probarvená., zrno 2mm</t>
  </si>
  <si>
    <t>(37+27+32+8+6+8+12)*1   omítka probarvená zrnitost 2mm, cenu určit za odstín s příplatkem 1</t>
  </si>
  <si>
    <t>130*0,05;prořez;   </t>
  </si>
  <si>
    <t>Zateplovací systém, fasáda, EPS F tl.140 mm s omítkou Silikon probarvená., zrno 2mm</t>
  </si>
  <si>
    <t>6,2*12+37*11+7*3+4,5*3,5;východ;   omítka probarvená zrnitost 2mm, cenu určit za odstín s příplatkem 1</t>
  </si>
  <si>
    <t>8*12+8*11+12*4+3*3,5;jih;   </t>
  </si>
  <si>
    <t>32*11,5+12*15+4,5*3,5;západ;   </t>
  </si>
  <si>
    <t>27*11+3*3,5;východ;   </t>
  </si>
  <si>
    <t>-(2,4*2,4*3+3,6*13,2+2,4*2,4*20+1,5*2,4*9+1,5*9,6)   </t>
  </si>
  <si>
    <t>-(2,4*2,4*3+1,5*2,4*6)   </t>
  </si>
  <si>
    <t>-(2,4*2,4*28+1,5*2,4*2+0,9*2,4*2+2,4*2,4*9)   </t>
  </si>
  <si>
    <t>-(1,8*2,4*5+2,4*2,4*6+1,7*3,3)   </t>
  </si>
  <si>
    <t>;odečet výplní;   </t>
  </si>
  <si>
    <t>Zatepl.systém, ostění a nadpraží, EPS tl. 30 mm probarvená., zrno 2mm</t>
  </si>
  <si>
    <t>(2,4+2,4*2)*0,3*3+(3,6+13,2*2)*0,3+(2,4+2,4*2)*0,3*20   omítka probarvená zrnitost 2mm, cenu určit za odstín s příplatkem 1</t>
  </si>
  <si>
    <t>(1,5+2,4*2)*0,3*9+(1,5+9,6*2)*0,3+(1,2+0,6*2)*0,3+(0,6+0,6*2)*0,3   </t>
  </si>
  <si>
    <t>(1,5+2,4*2)*0,3*6+(2,4+2,4*2)*0,3*3   </t>
  </si>
  <si>
    <t>(2,4+2,4*2)*0,3*28+(1,5+2,4*2)*0,3*2+(0,9+2,4*2)*0,3*2   </t>
  </si>
  <si>
    <t>(2,4+2,4*2)*0,3*9+(1,2+1,2*2)*0,3   </t>
  </si>
  <si>
    <t>(1,8+2,4*2)*0,3*5+(2,4+2,4*2)*0,3*6+(1,7+3,3*2)*0,3   </t>
  </si>
  <si>
    <t>Zateplovací systém, parapet, XPS tl. 30 mm</t>
  </si>
  <si>
    <t>210*0,3;viz oplechování parapetů;   </t>
  </si>
  <si>
    <t xml:space="preserve">Potažení vnějších stěn sklotex. pletivem, vypnutí - od soklu do výšky 2m		</t>
  </si>
  <si>
    <t>(37+27+32+8+6+8+12)*2   </t>
  </si>
  <si>
    <t>Zakrývání výplní vnějších otvorů z lešení</t>
  </si>
  <si>
    <t>2,4*2,4*3+3,6*13,2+2,4*2,4*20   </t>
  </si>
  <si>
    <t>1,5*2,4*9+1,5*9,6+1,2*0,6+0,6*0,6*2   </t>
  </si>
  <si>
    <t>1,5*2,4*6+2,4*2,4*3   </t>
  </si>
  <si>
    <t>2,4*2,4*28+1,5*2,4*2+0,9*2,4*2   </t>
  </si>
  <si>
    <t>2,4*2,4*9+1,2*1,2*2   </t>
  </si>
  <si>
    <t>1,8*2,4*5+2,4*2,4*6+1,7*3,3   </t>
  </si>
  <si>
    <t>0,9*1,2+0,8*1,97   </t>
  </si>
  <si>
    <t xml:space="preserve">Omítka stěn marmolit		</t>
  </si>
  <si>
    <t>40,95;viz zateplení soklu;   </t>
  </si>
  <si>
    <t>Montáž výztužné lišty okenní a podparapetní</t>
  </si>
  <si>
    <t>214,1;viz lišta okenní;   </t>
  </si>
  <si>
    <t>215;viz profil pod parapet;   </t>
  </si>
  <si>
    <t>Lišta okenní s tkaninou</t>
  </si>
  <si>
    <t>2,4*3+3,6+2,4*20+1,5*10+1,2+0,6*2+0,8   </t>
  </si>
  <si>
    <t>1,5*6+2,4*3+0,6   </t>
  </si>
  <si>
    <t>2,4*28+1,5*2+0,9*2+2,4*9+1,2*2   </t>
  </si>
  <si>
    <t>1,8*5+2,4*6+1,7   </t>
  </si>
  <si>
    <t>Profil okenní pod parapet vč. lep. pásky</t>
  </si>
  <si>
    <t>215;viz oplechování parapetů;   </t>
  </si>
  <si>
    <t>Montáž výztužné lišty rohové</t>
  </si>
  <si>
    <t>510,34;viz lišta rohová;   </t>
  </si>
  <si>
    <t>Lišta rohová s tkaninou</t>
  </si>
  <si>
    <t>2,4*2*3+13,2*2+1,97*2+2,4*2*20+2,4*2*9+9,6*2+0,6*2*3   </t>
  </si>
  <si>
    <t>2,4*2*6+2,4*2*3+0,9*2   </t>
  </si>
  <si>
    <t>2,4*2*28+2,4*2*2+2,4*2*2   </t>
  </si>
  <si>
    <t>2,4*2*9+1,2*2   </t>
  </si>
  <si>
    <t>2,4*2*5+2,4*2*6+3,3*2   </t>
  </si>
  <si>
    <t>Příplatek za okenní lištu (APU) - montáž, včetně dodávky lišty</t>
  </si>
  <si>
    <t>214,9;viz okenní lišta;   </t>
  </si>
  <si>
    <t>510,34;viz rohová lišta;   </t>
  </si>
  <si>
    <t>Očištění fasád tlakovou vodou</t>
  </si>
  <si>
    <t>40,95;viz zateplení soklu nad terénem;   </t>
  </si>
  <si>
    <t>1133,8;viz zateplení fasády;   </t>
  </si>
  <si>
    <t>Příplatek za styk 2 odstínů tenkovrstvých omítek</t>
  </si>
  <si>
    <t>(3,6+3,6+28+3,6+8+3,6+16+10+12)*2;omítka;   </t>
  </si>
  <si>
    <t>Příplatek k položkám za 1. barvu</t>
  </si>
  <si>
    <t>1174,75;viz očištění fasád;   </t>
  </si>
  <si>
    <t>Soklová lišta hliník KZS tl. 140 mm</t>
  </si>
  <si>
    <t>(37+27+32+8+6+8+12);lišta zatepl. nad terénem;   </t>
  </si>
  <si>
    <t>Výplně otvorů</t>
  </si>
  <si>
    <t>Osazení parapetních desek dřevěných včetně dodávky parapetní desky</t>
  </si>
  <si>
    <t>210;viz demontáž;   </t>
  </si>
  <si>
    <t>210*0,05;prořez;   </t>
  </si>
  <si>
    <t>Izolace střech (živičné krytiny)</t>
  </si>
  <si>
    <t>Odstranění povlakové krytiny střech do 10° 1vrstvé - fólie</t>
  </si>
  <si>
    <t>37*12+25*8+31*8;B30;   </t>
  </si>
  <si>
    <t>(37+27+31+8+6+8+12+12)*0,5;B30-atika;   </t>
  </si>
  <si>
    <t>Odstranění povlakové krytiny střech do 10° 2vrstvé - asf. pásy</t>
  </si>
  <si>
    <t>963;viz odstranění fólie B30;   </t>
  </si>
  <si>
    <t>142;K3 viz B20;   </t>
  </si>
  <si>
    <t>142*0,1;prořez;   </t>
  </si>
  <si>
    <t>142*2;K3 viz B20;   </t>
  </si>
  <si>
    <t>Montáž ukončovacího profilu</t>
  </si>
  <si>
    <t>Profil ukončovací</t>
  </si>
  <si>
    <t>142;viz montáž;   </t>
  </si>
  <si>
    <t>Komínek odvětrání kanalizace s manžetou z PVC</t>
  </si>
  <si>
    <t>8;K6;   </t>
  </si>
  <si>
    <t>Dodávka a osazení střešní vpusti</t>
  </si>
  <si>
    <t>4;K5;   </t>
  </si>
  <si>
    <t>Povlaková krytina střech do 10°,samolepicím pásem</t>
  </si>
  <si>
    <t>963;viz odstranění;   </t>
  </si>
  <si>
    <t>963*1,05;prořez;   </t>
  </si>
  <si>
    <t>Povlaková krytina střech do 10°, podklad. textilie</t>
  </si>
  <si>
    <t>Mont.povlakové krytiny střech do 30°fólií kotvením</t>
  </si>
  <si>
    <t>Přesun hmot pro povlakové krytiny, výšky do 24 m</t>
  </si>
  <si>
    <t>6,52265;viz hmotnost;   </t>
  </si>
  <si>
    <t>Izolace tepelné</t>
  </si>
  <si>
    <t>Odstr.tep.izol.střech pl,kotv,minerál tl.100-200mm</t>
  </si>
  <si>
    <t>Izolace tepelná střech do tl.160 mm,1vrstva,kotvy</t>
  </si>
  <si>
    <t>37*12+25*8+31*8;SCH1;   </t>
  </si>
  <si>
    <t>(37+27+31+8+6+8+12+12)*0,5;SCH1-atika;   </t>
  </si>
  <si>
    <t>Deska izolační polystyrén samozhášivý EPS 200</t>
  </si>
  <si>
    <t>(37*12+25*8+31*8)*0,24;SCH1;   </t>
  </si>
  <si>
    <t>(37+27+31+8+6+8+12+12)*0,5*0,08;SCH1-atika;   </t>
  </si>
  <si>
    <t>219,72*0,02;prořez;   </t>
  </si>
  <si>
    <t>-7,4949*0,24;viz minerál. vlna;   </t>
  </si>
  <si>
    <t>2,5*0,61+6*0,97;minerální pás;   </t>
  </si>
  <si>
    <t>7,345*0,02;prořez;   </t>
  </si>
  <si>
    <t>Přesun hmot pro izolace tepelné, výšky do 24 m</t>
  </si>
  <si>
    <t>6,70543;viz hmotnost;   </t>
  </si>
  <si>
    <t>Vnitřní kanalizace</t>
  </si>
  <si>
    <t>Demontáž střešní vpusti</t>
  </si>
  <si>
    <t>4;K23;   </t>
  </si>
  <si>
    <t>Vzduchotechnika</t>
  </si>
  <si>
    <t>Demontáž mřížky větrací nebo ventilač. do d 100 mm</t>
  </si>
  <si>
    <t>2+17+14+14+4+4+5;B7;   </t>
  </si>
  <si>
    <t>Demontáž ventilační turbíny včetně oplechování</t>
  </si>
  <si>
    <t>8;B24;   </t>
  </si>
  <si>
    <t>Ventilační turbína včetně oplechování konstrukce</t>
  </si>
  <si>
    <t>8;K7;   </t>
  </si>
  <si>
    <t>Montáž protidešť. žaluzie čtyřhranné do 0,15 m2</t>
  </si>
  <si>
    <t>60;M1;   </t>
  </si>
  <si>
    <t>Mřížka protidešťová</t>
  </si>
  <si>
    <t>Přesun hmot pro vzduchotechniku, výšky do 24 m</t>
  </si>
  <si>
    <t>0,05336;viz hmotnost;   </t>
  </si>
  <si>
    <t>Konstrukce tesařské</t>
  </si>
  <si>
    <t>Podlaha z desek dřevotřískových přibíjená</t>
  </si>
  <si>
    <t>892;viz střecha;   </t>
  </si>
  <si>
    <t>Deska dřevoštěpková OSB 3 N tl. 22 mm</t>
  </si>
  <si>
    <t>892*0,08;prořez;   </t>
  </si>
  <si>
    <t>Položení polštářů pod podlahy rozteče do 65 cm, včetně dodávky řeziva</t>
  </si>
  <si>
    <t>963,36;viz OSB desky;   </t>
  </si>
  <si>
    <t>Přesun hmot pro tesařské konstrukce, výšky do 12 m</t>
  </si>
  <si>
    <t>18,33524;viz hmotnost;   </t>
  </si>
  <si>
    <t>Dřevostavby</t>
  </si>
  <si>
    <t>M.záklopu desek nad tl.18 mm</t>
  </si>
  <si>
    <t>156,2*0,5;délka viz záv. lišta;   </t>
  </si>
  <si>
    <t>Překližka vodovzdorná bříza tl. 21 mm jak. S/BB</t>
  </si>
  <si>
    <t>78,1*1,1;viz montáž krát ztratné;   </t>
  </si>
  <si>
    <t>Přesun hmot pro dřevostavby, výšky do 12 m</t>
  </si>
  <si>
    <t>1,266;viz hmotnost;   </t>
  </si>
  <si>
    <t>Konstrukce klempířské</t>
  </si>
  <si>
    <t>Demontáž oplechování parapetů</t>
  </si>
  <si>
    <t>2,4*(3+20+3+28+9+6);B9;   </t>
  </si>
  <si>
    <t>1,5*(9+1+6+2);B11;   </t>
  </si>
  <si>
    <t>0,9*2;B16;   </t>
  </si>
  <si>
    <t>1,8*5;B18;   </t>
  </si>
  <si>
    <t>3,6;B50;   </t>
  </si>
  <si>
    <t>Demontáž oplechování atiky, rš 500 mm, do 30°</t>
  </si>
  <si>
    <t>37+27+32+8+6+8+12+12;B20;   </t>
  </si>
  <si>
    <t>Demontáž oplechování stříšky a štěrbiny</t>
  </si>
  <si>
    <t>0,65*0,9;B14;   </t>
  </si>
  <si>
    <t>1*0,3;B14b;   </t>
  </si>
  <si>
    <t>23*1;B29;   </t>
  </si>
  <si>
    <t>Oplechování parapetů z elox. hliníku včetně doplňků</t>
  </si>
  <si>
    <t>0,6;P6/E;   </t>
  </si>
  <si>
    <t>3,6;P1/E;   </t>
  </si>
  <si>
    <t>1,2*2;P7/E;   </t>
  </si>
  <si>
    <t>2,4*(3+20+3+28+9+6);P2/E;   </t>
  </si>
  <si>
    <t>1,5*(9+1+6+2);P3/E;   </t>
  </si>
  <si>
    <t>0,9*2;P4/E;   </t>
  </si>
  <si>
    <t>1,8*5;P5/E;   </t>
  </si>
  <si>
    <t>23*1;K9;   </t>
  </si>
  <si>
    <t>Demontáž odpadních trub kruhových,D 75 a 100 mm</t>
  </si>
  <si>
    <t>3,5;B28;   </t>
  </si>
  <si>
    <t xml:space="preserve">Demontáž kruhové zděře		</t>
  </si>
  <si>
    <t>3;B28;   </t>
  </si>
  <si>
    <t>Demontáž kotlíku kónického, sklon do 30°</t>
  </si>
  <si>
    <t>1;B28;   </t>
  </si>
  <si>
    <t>Demontáž podokapních žlabů půlkruhových</t>
  </si>
  <si>
    <t>4;B28;   </t>
  </si>
  <si>
    <t>Demontáž háků, sklon do 30°</t>
  </si>
  <si>
    <t>5;B28;   </t>
  </si>
  <si>
    <t>Odpadní trouby z TiZn plechu kruhové</t>
  </si>
  <si>
    <t>3,5;K8;   </t>
  </si>
  <si>
    <t>Kotlík kónický z TiZn plechu pro trouby,D do 125 mm</t>
  </si>
  <si>
    <t>1;K8;   </t>
  </si>
  <si>
    <t>Montáž zděře Ti Zn</t>
  </si>
  <si>
    <t>3;K8;   </t>
  </si>
  <si>
    <t>Objímka</t>
  </si>
  <si>
    <t xml:space="preserve">Žlaby z Ti Zn plechu, podok.		</t>
  </si>
  <si>
    <t>4;K8;   </t>
  </si>
  <si>
    <t>Montáž háků z Ti Zn půlkruhových</t>
  </si>
  <si>
    <t>5;K8;   </t>
  </si>
  <si>
    <t xml:space="preserve">Hák žlabový		</t>
  </si>
  <si>
    <t>Oplechování stříšky z TiZn plechu</t>
  </si>
  <si>
    <t>0,65*0,9;K1;   </t>
  </si>
  <si>
    <t>1*0,3;K2;   </t>
  </si>
  <si>
    <t>Odstranění technolog. zařízení, po zhotovení KZS zpětná montáž</t>
  </si>
  <si>
    <t>10+10+25;B19;   </t>
  </si>
  <si>
    <t>Přesun hmot pro klempířské konstr., výšky do 24 m</t>
  </si>
  <si>
    <t>0,95845;viz hmotnost;   </t>
  </si>
  <si>
    <t>Krytina tvrdá</t>
  </si>
  <si>
    <t>Demontáž azbestocement.čtverců, do suti</t>
  </si>
  <si>
    <t>Konstrukce truhlářské</t>
  </si>
  <si>
    <t>Montáž výplní otvorů</t>
  </si>
  <si>
    <t>0,6*0,9;O12;   </t>
  </si>
  <si>
    <t>0,8*1,97;D2;   </t>
  </si>
  <si>
    <t>3,6*13,2;S1;   </t>
  </si>
  <si>
    <t>1,2*0,6*1;O1;   </t>
  </si>
  <si>
    <t>0,6*0,6*2;O2;   </t>
  </si>
  <si>
    <t>1,2*1,2*2;O3;   </t>
  </si>
  <si>
    <t>2,4*2,4*(3+16+3+21+9+6);O4;   </t>
  </si>
  <si>
    <t>2,4*2,4;O5vzt1;   </t>
  </si>
  <si>
    <t>2,4*2,4;O5vzt2;   </t>
  </si>
  <si>
    <t>1,5*2,4*(1+6+1);O6;   </t>
  </si>
  <si>
    <t>1,5*2,4*6;O6k;   </t>
  </si>
  <si>
    <t>0,9*2,4;O7vzt;   </t>
  </si>
  <si>
    <t>1,5*9,6;S2;   </t>
  </si>
  <si>
    <t>1,8*2,4*5;O8;   </t>
  </si>
  <si>
    <t>Okno plast 0,6x0,9m, 3 sklo, Umax=0,9W/m2K</t>
  </si>
  <si>
    <t>1;O11;   </t>
  </si>
  <si>
    <t>Dveře plast 0,8x1,97m, 3 sklo, Umax=0,9W/m2K</t>
  </si>
  <si>
    <t>1;D2;   </t>
  </si>
  <si>
    <t>Stěna plast 3,6x13,2m, 3 sklo, Umax=0,9W/m2K vč. pákového mechanizmu</t>
  </si>
  <si>
    <t>1;S1;   </t>
  </si>
  <si>
    <t>Okno plast 1,2x0,6m, 3 sklo, Umax=0,9W/m2K</t>
  </si>
  <si>
    <t>1;O1;   </t>
  </si>
  <si>
    <t>Okno plast 0,6x0,6m, 3 sklo, Umax=0,9W/m2K</t>
  </si>
  <si>
    <t>2;O2;   </t>
  </si>
  <si>
    <t>Okno plast 1,2x1,2m, 3 sklo, Umax=0,9W/m2K</t>
  </si>
  <si>
    <t>2;O3;   </t>
  </si>
  <si>
    <t>Okno plast 2,4x2,4m, 3 sklo, Umax=0,9W/m2K</t>
  </si>
  <si>
    <t>3+16+3+21+9+6;O4;   </t>
  </si>
  <si>
    <t>1;O5vzt1;   </t>
  </si>
  <si>
    <t>1;O5vzt2;   </t>
  </si>
  <si>
    <t>Okno plast 1,5x2,4m, 3 sklo, Umax=0,9W/m2K</t>
  </si>
  <si>
    <t>1+6+1;O6;   </t>
  </si>
  <si>
    <t>Okno plast 1,5x2,4m, 3 sklo, Umax=0,9W/m2K, dubová kůra</t>
  </si>
  <si>
    <t>6;O6k;   </t>
  </si>
  <si>
    <t>Okno plast 0,9x2,4m, 3 sklo, Umax=0,9W/m2K</t>
  </si>
  <si>
    <t>1;O7vzt;   </t>
  </si>
  <si>
    <t>Stěna plast 1,5x9,6m, 3 sklo, Umax=0,9W/m2K vč. pákového mechanizmu</t>
  </si>
  <si>
    <t>1;S2;   </t>
  </si>
  <si>
    <t>Dveře plast 1,8x3,3m, 3 sklo, Umax=0,9W/m2K</t>
  </si>
  <si>
    <t>1;D1;   </t>
  </si>
  <si>
    <t>Okno plast 1,8x2,4m, 3 sklo, Umax=0,9W/m2K</t>
  </si>
  <si>
    <t>5;O8;   </t>
  </si>
  <si>
    <t>Přesun hmot pro truhlářské konstr., výšky do 24 m</t>
  </si>
  <si>
    <t>15,488;viz hmotnost;   </t>
  </si>
  <si>
    <t>Konstrukce doplňkové stavební (zámečnické)</t>
  </si>
  <si>
    <t>Přestřešení vchodu</t>
  </si>
  <si>
    <t>1;PŘ6;   </t>
  </si>
  <si>
    <t>Přesun hmot pro zámečnické konstr., výšky do 24 m</t>
  </si>
  <si>
    <t>0,05;viz hmotnost;   </t>
  </si>
  <si>
    <t>Malby</t>
  </si>
  <si>
    <t>Malba klih.2x, 1bar.+strop,pačok 2x, míst. do 3,8m</t>
  </si>
  <si>
    <t>398,937;viz omítka vnitřního ostění;   </t>
  </si>
  <si>
    <t>Malba disperzní interiér.,výška do 3,8m pro SDK</t>
  </si>
  <si>
    <t>5,4*(0,8+0,35)+7,2*(0,4+0,35)   </t>
  </si>
  <si>
    <t>22,7   </t>
  </si>
  <si>
    <t>10*(0,8+0,35)+7,2*(0,4+0,35)   </t>
  </si>
  <si>
    <t>5,9*(0,8+0,35)+19,50+8,7*(0,8+0,35)+6,1*(0,4+0,35)   </t>
  </si>
  <si>
    <t>;1np;   </t>
  </si>
  <si>
    <t>5,3*(0,8+0,35)+7,1*(0,4+0,35)   </t>
  </si>
  <si>
    <t>8,5*(0,8+0,35)+7,1*(0,4+0,35)   </t>
  </si>
  <si>
    <t>14,1*1,25+14,1*0,35+1,25*0,35*2   </t>
  </si>
  <si>
    <t>8,7*(0,8+0,35)+7,1*(0,4+0,35)   </t>
  </si>
  <si>
    <t>8,3*(0,4+0,35)+6*(0,4+0,35)   </t>
  </si>
  <si>
    <t>9,3*(0,75+0,35)+7,2*(0,4+0,35)   </t>
  </si>
  <si>
    <t>8,7*(1,1+0,35)+7,2*(0,45+0,35)   </t>
  </si>
  <si>
    <t>9,3*(0,45+0,35)+0,45*0,35*2   </t>
  </si>
  <si>
    <t>;2np;   </t>
  </si>
  <si>
    <t>5,3*(0,8+0,35)+7,2*(0,4+0,35)   </t>
  </si>
  <si>
    <t>5,7*(0,8+0,35)+7,2*(0,4+0,35)   </t>
  </si>
  <si>
    <t>10,4*(0,8+0,35)+7,2*(0,4+0,35)   </t>
  </si>
  <si>
    <t>5,7*2,7+2,7*0,35*2+7,3*(1,25+0,35)   </t>
  </si>
  <si>
    <t>8,3*(0,55+0,35)+5,4*(0,45+0,35)   </t>
  </si>
  <si>
    <t>11,6*(0,75+0,35)+8,4*(0,75+0,35)+18,6   </t>
  </si>
  <si>
    <t>3,3*(0,6*2+1,4)+3,3*(0,8+0,5)+3,3*(1,2+0,5)   </t>
  </si>
  <si>
    <t>;3np;   </t>
  </si>
  <si>
    <t>Čalounické úpravy</t>
  </si>
  <si>
    <t>Žaluzie předokenní lamelová, el. ovládaná, montáž + dodávka vč. zapojení</t>
  </si>
  <si>
    <t>2,4*2,4*51;Ž1;   </t>
  </si>
  <si>
    <t>1,5*2,4*5;Ž2;   </t>
  </si>
  <si>
    <t>0,9*2,5;Ž5;   </t>
  </si>
  <si>
    <t>1,8*2,4*2;Ž4;   </t>
  </si>
  <si>
    <t>Lešení a stavební výtahy</t>
  </si>
  <si>
    <t>Montáž lešení leh.řad.s podlahami,š.1,2 m, H 30 m</t>
  </si>
  <si>
    <t>6,2*13,5+37*12,5+7*4,5+4,5*5;východ;   </t>
  </si>
  <si>
    <t>8*13,5+8*12,5+12*5,5+3*5;jih;   </t>
  </si>
  <si>
    <t>32*13+12*16,5+4,5*5;západ;   </t>
  </si>
  <si>
    <t>27*12,5+3*5;východ;   </t>
  </si>
  <si>
    <t>1,5*12+1,5*13*2+10,5*2;přesahy;   </t>
  </si>
  <si>
    <t>Příplatek za každý měsíc použití lešení k pol.1042</t>
  </si>
  <si>
    <t>1956,2*2;předpoklad 2 měsíce;   </t>
  </si>
  <si>
    <t>Demontáž lešení leh.řad.s podlahami,š.1,2 m,H 30 m</t>
  </si>
  <si>
    <t>1956,2;viz montáž;   </t>
  </si>
  <si>
    <t>Montáž ochranné sítě z umělých vláken</t>
  </si>
  <si>
    <t>1956,2;viz montáž lešení;   </t>
  </si>
  <si>
    <t>Příplatek za každý měsíc použití sítí k pol. 4011</t>
  </si>
  <si>
    <t>Demontáž ochranné sítě z umělých vláken</t>
  </si>
  <si>
    <t>Lešení lehké pomocné, výška podlahy do 1,2 m</t>
  </si>
  <si>
    <t>5,4*1,5*2+7,3*1,5+22,7+10,5*1,5*2+7,3*1,5   </t>
  </si>
  <si>
    <t>6,5*1,5*2+19,5+8,7*1,5+7*1,5*2   </t>
  </si>
  <si>
    <t>5,3*1,5*2+7,2*1,5+8,7*1,5*2+7,2*1,5+8,7*1,5*2+7,2*1,5   </t>
  </si>
  <si>
    <t>14*1,5+6*1,5+8,2*1,5*2   </t>
  </si>
  <si>
    <t>8,7*1,5*2+7,2*1,5+8,7*1,5*2+7,2*1,5+9,3*1,5   </t>
  </si>
  <si>
    <t>5,3*1,5+9,5*1,5+7,2*1,5+8,7*1,5+7,2*1,5   </t>
  </si>
  <si>
    <t>10,5*1,5*2+7,2*1,5+5,7*2,7+7,3*1,5   </t>
  </si>
  <si>
    <t>8,3*1,5+6*1,5+12*1,5*2+7,2*1,5+8,4*1,5+6*1,5+18,6   </t>
  </si>
  <si>
    <t>Přesun hmot lešení samostatně budovaného</t>
  </si>
  <si>
    <t>40,64435;viz hmotnost;   </t>
  </si>
  <si>
    <t>Různé dokončovací konstrukce a práce na pozemních stavbách</t>
  </si>
  <si>
    <t>Vyčištění ostatních objektů - střecha</t>
  </si>
  <si>
    <t>963;viz krytina;   </t>
  </si>
  <si>
    <t>Čištění mytím vnějších ploch oken a dveří</t>
  </si>
  <si>
    <t>559;viz zakrývání otvorů;   </t>
  </si>
  <si>
    <t>Čištění mytím vnitřních ploch oken a dveří</t>
  </si>
  <si>
    <t>559;viz vnějších;   </t>
  </si>
  <si>
    <t>Průběžný úklid</t>
  </si>
  <si>
    <t>33+21,15+65,5+30,7+3,35;1pp;   </t>
  </si>
  <si>
    <t>33+21,5+130,9+43,55+19,5+62,3+25,2+2,15+4,1+8,6+6,1+12,6+8,1+20,15+75,2+43+32,2+3,35+46,6+14,7+41,8   </t>
  </si>
  <si>
    <t>22,7+71,2   </t>
  </si>
  <si>
    <t>33+21,5+2,2+62,9+61,7+12,65+12,3+3,2+1,35+9,5+10,1+4,45+3,35+2,15+8,1+118,7+3,35+71,2+18,5+61,3+20,4   </t>
  </si>
  <si>
    <t>63,7+65,65+47,5   </t>
  </si>
  <si>
    <t>33+21,3+2,1+20,4+34,1+18,6+60,6+47,5+20,15+8,4+118,9+3,35+110,7+22,7+74,3+30,9+39,8+66,3+21,5   </t>
  </si>
  <si>
    <t>Závěrečný úklid bez mytí oken a dveří</t>
  </si>
  <si>
    <t>2375,55;viz průběžný úklid;   </t>
  </si>
  <si>
    <t>Bourání konstrukcí</t>
  </si>
  <si>
    <t>Bourání betonových okapových chodníčků</t>
  </si>
  <si>
    <t>(37+12+7+6+9+32)*0,6*0,15;B2;   </t>
  </si>
  <si>
    <t>Bourání výplní z kopilitu</t>
  </si>
  <si>
    <t>3,6*13,2*1;B3;   </t>
  </si>
  <si>
    <t>1,5*9,6;B12;   </t>
  </si>
  <si>
    <t>Vyvěšení dřevěných okenních křídel pl. do 1,5 m2</t>
  </si>
  <si>
    <t>1;B4;   </t>
  </si>
  <si>
    <t>1*2;B5;   </t>
  </si>
  <si>
    <t>2*1;B6;   </t>
  </si>
  <si>
    <t>3*(3+17+3+22+9+6);B8;   </t>
  </si>
  <si>
    <t>1*(7+6+1);B10;   </t>
  </si>
  <si>
    <t>1;B15;   </t>
  </si>
  <si>
    <t>2*5;B17;   </t>
  </si>
  <si>
    <t>1;B27;   </t>
  </si>
  <si>
    <t>3*3;B3;   </t>
  </si>
  <si>
    <t>2*2;B12;   </t>
  </si>
  <si>
    <t>Vybourání dřevěných rámů oken jednoduch. pl. 1 m2</t>
  </si>
  <si>
    <t>1,2*0,6;B4;   </t>
  </si>
  <si>
    <t>0,6*0,6*2;B5;   </t>
  </si>
  <si>
    <t>0,6*0,9;B27;   </t>
  </si>
  <si>
    <t>Vyvěšení dřevěných okenních křídel pl. nad 1,5 m2</t>
  </si>
  <si>
    <t>1*(3+17+3+22+9+6);B8;   </t>
  </si>
  <si>
    <t>Vybourání dřevěných rámů oken jednoduch. pl. 2 m2</t>
  </si>
  <si>
    <t>1,2*1,2*2;B6;   </t>
  </si>
  <si>
    <t>1,5*1,3*2;B12;   </t>
  </si>
  <si>
    <t>Vybourání dřevěných rámů oken jednoduch. nad 4 m2</t>
  </si>
  <si>
    <t>2,4*2,4*(3+17+3+22+9+6);B8;   </t>
  </si>
  <si>
    <t>1,8*2,4*5;B17;   </t>
  </si>
  <si>
    <t>Vybourání dřevěných rámů oken jednoduch. pl. 4 m2</t>
  </si>
  <si>
    <t>1,5*2,4*(7+6+1);B10;   </t>
  </si>
  <si>
    <t>3,6*1*3;B3;   </t>
  </si>
  <si>
    <t>0,9*2,4*1;B15;   </t>
  </si>
  <si>
    <t>Vyvěšení, zavěšení kovových křídel dveří pl. 2 m2</t>
  </si>
  <si>
    <t>2;B13;   </t>
  </si>
  <si>
    <t>1;B26;   </t>
  </si>
  <si>
    <t>Vyvěšení,zavěšení  kovových křídel oken nad 1,5 m2 - nadsvětlík</t>
  </si>
  <si>
    <t>1;B13;   </t>
  </si>
  <si>
    <t>Vybourání kovových dveřních zárubní pl. nad 2 m2</t>
  </si>
  <si>
    <t>1,6*3,3;B13;   </t>
  </si>
  <si>
    <t>Vybourání kovových dveřních zárubní pl. do 2 m2</t>
  </si>
  <si>
    <t>0,9*1,97;B26;   </t>
  </si>
  <si>
    <t>Demontáž hlavic kanalizace</t>
  </si>
  <si>
    <t>10;B25;   </t>
  </si>
  <si>
    <t>Přisekání plošné zdiva cihelného na MVC tl. 10 cm - podparapetní zdivo</t>
  </si>
  <si>
    <t>2,4*0,6*(3+6)   </t>
  </si>
  <si>
    <t>1,5*0,3*(2+1)   </t>
  </si>
  <si>
    <t>0,9*0,3*1   </t>
  </si>
  <si>
    <t>;přisekání podpar. zdiva pro vložení tep. izolace;   </t>
  </si>
  <si>
    <t>Bourání parapetů dřevěných</t>
  </si>
  <si>
    <t>203,4;viz vnější parapety;   </t>
  </si>
  <si>
    <t>Prorážení otvorů a ostatní bourací práce</t>
  </si>
  <si>
    <t>Odsekání vnějších obkladů stěn nad 2 m2</t>
  </si>
  <si>
    <t>4,5+15+10+7+21+20+3;B1;   </t>
  </si>
  <si>
    <t>Vybourání otv. zeď cihel. pl.0,25 m2, tl.30cm, MVC</t>
  </si>
  <si>
    <t>2;1np;   </t>
  </si>
  <si>
    <t>1;2np;   </t>
  </si>
  <si>
    <t>Vybourání otv. zeď cihel. pl.0,25 m2, tl.15cm, MVC</t>
  </si>
  <si>
    <t>1;1np;   </t>
  </si>
  <si>
    <t>2;2np;   </t>
  </si>
  <si>
    <t>2;3np;   </t>
  </si>
  <si>
    <t>Vybourání otv. zeď cihel. pl.0,09 m2, tl.30cm, MVC</t>
  </si>
  <si>
    <t>4;2np;   </t>
  </si>
  <si>
    <t>Vybourání otv. zeď cihel. pl.0,09 m2, tl.15cm, MVC</t>
  </si>
  <si>
    <t>Vybourání otvorů stropy prefa 0,25 m2, nad 12 cm</t>
  </si>
  <si>
    <t>3;2np;   </t>
  </si>
  <si>
    <t>6;3np;   </t>
  </si>
  <si>
    <t>Řezání železobetonu hl. řezu 300 mm</t>
  </si>
  <si>
    <t>(1+0,45)*2+(0,83+0,37)*2+(0,3+0,37)*2;2np;   </t>
  </si>
  <si>
    <t>(1,15+0,45)*2*2+0,3*0,35*2+0,35*0,45*2+0,3*0,3+0,95*0,45;3np;   </t>
  </si>
  <si>
    <t>Řezání cihelného zdiva hl. řezu 200 mm</t>
  </si>
  <si>
    <t>(0,65+0,25)*2+(0,8+0,25)*2;1np;   </t>
  </si>
  <si>
    <t>(0,8+0,25)*2+(0,35+0,25)*2+(0,3+0,25)*2*2+(0,37+0,25)*2;2np;   </t>
  </si>
  <si>
    <t>(0,3+0,25)*2;3np;   </t>
  </si>
  <si>
    <t>Vybourání otv. stropy ŽB pl. 4 m2, tl. nad 8 cm</t>
  </si>
  <si>
    <t>1*0,45*0,3+0,83*0,37*0,3+0,3*0,37*0,3;2np;   </t>
  </si>
  <si>
    <t>1,15*0,45*0,3*2+0,7*0,3*0,3+0,3*0,35*0,3   </t>
  </si>
  <si>
    <t>0,35*0,45*0,3*2+0,3*0,3*0,3+0,95*0,45*0,3   </t>
  </si>
  <si>
    <t>1,805*2,76*0,25*4;pro základ VZT v RZP;   </t>
  </si>
  <si>
    <t>Ostatní přesuny hmot</t>
  </si>
  <si>
    <t>Přesun hmot pro opravy a údržbu do výšky 12 m</t>
  </si>
  <si>
    <t>140,11623;viz hmotnost;   </t>
  </si>
  <si>
    <t>Osetí povrchu trávou</t>
  </si>
  <si>
    <t>Osetí povrchu trávou včetně dodávky osiva</t>
  </si>
  <si>
    <t>61,8;viz chodník;   </t>
  </si>
  <si>
    <t>Přesuny sutí</t>
  </si>
  <si>
    <t>Svislá doprava suti a vybour. hmot za 2.NP a 1.PP</t>
  </si>
  <si>
    <t>120,15598;viz hmnotnost;   </t>
  </si>
  <si>
    <t>Vnitrostaveništní doprava suti do 10 m</t>
  </si>
  <si>
    <t>Vodorovná doprava suti po suchu do 50 m</t>
  </si>
  <si>
    <t>Nakládání vybour.hmot na doprav.prostředky</t>
  </si>
  <si>
    <t>Odvoz suti a vybour. hmot na skládku do 1 km</t>
  </si>
  <si>
    <t>Příplatek k odvozu za každý další 1 km</t>
  </si>
  <si>
    <t>120,15598*19;viz hmnotnost-odvoz celkem do 20km;   </t>
  </si>
  <si>
    <t>Poplatek za skládku suti - asfaltové pásy</t>
  </si>
  <si>
    <t>15,405;viz hmotnost;   </t>
  </si>
  <si>
    <t>Poplatek za skládku suti -azbestocementové výrobky</t>
  </si>
  <si>
    <t>12,488;viz hmotnost;   </t>
  </si>
  <si>
    <t>Poplatek za skládku suti - minerální vata</t>
  </si>
  <si>
    <t>26,76;viz hmotnost;   </t>
  </si>
  <si>
    <t>Poplatek za skládku stavební suti</t>
  </si>
  <si>
    <t>65,50298;viz hmotnost;   </t>
  </si>
  <si>
    <t>Doba výstavby:</t>
  </si>
  <si>
    <t>Začátek výstavby:</t>
  </si>
  <si>
    <t>Konec výstavby:</t>
  </si>
  <si>
    <t>Zpracováno dne:</t>
  </si>
  <si>
    <t>15.10.2019</t>
  </si>
  <si>
    <t>MJ</t>
  </si>
  <si>
    <t>m2</t>
  </si>
  <si>
    <t>m3</t>
  </si>
  <si>
    <t>kompl</t>
  </si>
  <si>
    <t>m</t>
  </si>
  <si>
    <t>kus</t>
  </si>
  <si>
    <t>t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</si>
  <si>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</si>
  <si>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</si>
  <si>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</si>
  <si>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</si>
  <si>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</si>
  <si>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</si>
  <si>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</si>
  <si>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Město Cheb</t>
  </si>
  <si>
    <t>Kamila Možná</t>
  </si>
  <si>
    <t>Dle výběrového řízení</t>
  </si>
  <si>
    <t>Náklady (Kč)</t>
  </si>
  <si>
    <t>Dodávka</t>
  </si>
  <si>
    <t>Celkem:</t>
  </si>
  <si>
    <t>Montáž</t>
  </si>
  <si>
    <t>Celkem</t>
  </si>
  <si>
    <t>Cenová</t>
  </si>
  <si>
    <t>soustava</t>
  </si>
  <si>
    <t>RTS II / 2019</t>
  </si>
  <si>
    <t>RTS I / 2020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</si>
  <si>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</si>
  <si>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</si>
  <si>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</si>
  <si>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</si>
  <si>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</si>
  <si>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</si>
  <si>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</si>
  <si>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</si>
  <si>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</si>
  <si>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1_</t>
  </si>
  <si>
    <t>13_</t>
  </si>
  <si>
    <t>16_</t>
  </si>
  <si>
    <t>17_</t>
  </si>
  <si>
    <t>2_</t>
  </si>
  <si>
    <t>27_</t>
  </si>
  <si>
    <t>34_</t>
  </si>
  <si>
    <t>59_</t>
  </si>
  <si>
    <t>61_</t>
  </si>
  <si>
    <t>62_</t>
  </si>
  <si>
    <t>64_</t>
  </si>
  <si>
    <t>712_</t>
  </si>
  <si>
    <t>713_</t>
  </si>
  <si>
    <t>721_</t>
  </si>
  <si>
    <t>728_</t>
  </si>
  <si>
    <t>762_</t>
  </si>
  <si>
    <t>763_</t>
  </si>
  <si>
    <t>764_</t>
  </si>
  <si>
    <t>765_</t>
  </si>
  <si>
    <t>766_</t>
  </si>
  <si>
    <t>767_</t>
  </si>
  <si>
    <t>784_</t>
  </si>
  <si>
    <t>786_</t>
  </si>
  <si>
    <t>94_</t>
  </si>
  <si>
    <t>95_</t>
  </si>
  <si>
    <t>96_</t>
  </si>
  <si>
    <t>97_</t>
  </si>
  <si>
    <t>H99_</t>
  </si>
  <si>
    <t>M46_</t>
  </si>
  <si>
    <t>S_</t>
  </si>
  <si>
    <t>3_</t>
  </si>
  <si>
    <t>5_</t>
  </si>
  <si>
    <t>6_</t>
  </si>
  <si>
    <t>71_</t>
  </si>
  <si>
    <t>72_</t>
  </si>
  <si>
    <t>76_</t>
  </si>
  <si>
    <t>78_</t>
  </si>
  <si>
    <t>9_</t>
  </si>
  <si>
    <t>_</t>
  </si>
  <si>
    <t>MAT</t>
  </si>
  <si>
    <t>WORK</t>
  </si>
  <si>
    <t>CELK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</si>
  <si>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</si>
  <si>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</si>
  <si>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</si>
  <si>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</si>
  <si>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</si>
  <si>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</si>
  <si>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</si>
  <si>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</si>
  <si>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</si>
  <si>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</si>
  <si>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</si>
  <si>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</si>
  <si>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</si>
  <si>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</si>
  <si>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</si>
  <si>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</si>
  <si>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</si>
  <si>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</si>
  <si>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</si>
  <si>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</si>
  <si>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</si>
  <si>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</si>
  <si>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</si>
  <si>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</si>
  <si>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</si>
  <si>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</si>
  <si>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</si>
  <si>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</si>
  <si>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</si>
  <si>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</si>
  <si>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</si>
  <si>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</si>
  <si>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</si>
  <si>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</si>
  <si>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</si>
  <si>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</si>
  <si>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</si>
  <si>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</si>
  <si>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</si>
  <si>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</si>
  <si>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</si>
  <si>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</si>
  <si>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</si>
  <si>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</si>
  <si>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Opláštění z SDK 2.str.,do 800x800 mm,MA tl.12,5 mm 1x opláštění</t>
  </si>
  <si>
    <t>Opláštění z SDK 3.str.,do 800x800 mm,MA tl.12,5 mm 1x opláštění</t>
  </si>
  <si>
    <t>Závětrná lišta z poplastovaného plechu rš 250 mm</t>
  </si>
  <si>
    <t>Rohová lišta vnější z poplastovaného plechu RŠ 100 mm</t>
  </si>
  <si>
    <t>Rohová lišta vnitřní z poplastovaného plechuRŠ 100 mm</t>
  </si>
  <si>
    <t>Pás modif. asfalt samolep s vložkou ze skleněné tkaniny tl. 3mm</t>
  </si>
  <si>
    <t>Geotextilie netkaná 300 g/m2</t>
  </si>
  <si>
    <t>Fólie izolační  PVC-P s výztužnou vložkou PES, tl. 1,5 mm</t>
  </si>
  <si>
    <t>963</t>
  </si>
  <si>
    <t>Deska z minerální plsti tl. 160 mm, min. objemová hmotnost 30 kg/m3</t>
  </si>
  <si>
    <t xml:space="preserve">Oplechování ventilační štěrbiny z poplastovaného plechu </t>
  </si>
  <si>
    <t>Elektromontáže</t>
  </si>
  <si>
    <t>viz samostatný rozpočet Elektroinstalace Objekt 3</t>
  </si>
  <si>
    <t>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</si>
</sst>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8" fillId="2" borderId="7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7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9" fontId="11" fillId="3" borderId="30" xfId="0" applyNumberFormat="1" applyFont="1" applyFill="1" applyBorder="1" applyAlignment="1" applyProtection="1">
      <alignment horizontal="center" vertical="center"/>
    </xf>
    <xf numFmtId="49" fontId="12" fillId="0" borderId="31" xfId="0" applyNumberFormat="1" applyFont="1" applyFill="1" applyBorder="1" applyAlignment="1" applyProtection="1">
      <alignment horizontal="left" vertical="center"/>
    </xf>
    <xf numFmtId="49" fontId="12" fillId="0" borderId="32" xfId="0" applyNumberFormat="1" applyFont="1" applyFill="1" applyBorder="1" applyAlignment="1" applyProtection="1">
      <alignment horizontal="left" vertical="center"/>
    </xf>
    <xf numFmtId="0" fontId="1" fillId="0" borderId="34" xfId="0" applyNumberFormat="1" applyFont="1" applyFill="1" applyBorder="1" applyAlignment="1" applyProtection="1">
      <alignment vertical="center"/>
    </xf>
    <xf numFmtId="49" fontId="7" fillId="0" borderId="7" xfId="0" applyNumberFormat="1" applyFont="1" applyFill="1" applyBorder="1" applyAlignment="1" applyProtection="1">
      <alignment horizontal="left" vertical="center"/>
    </xf>
    <xf numFmtId="49" fontId="13" fillId="0" borderId="30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0" fontId="1" fillId="0" borderId="28" xfId="0" applyNumberFormat="1" applyFont="1" applyFill="1" applyBorder="1" applyAlignment="1" applyProtection="1">
      <alignment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9" fontId="13" fillId="0" borderId="30" xfId="0" applyNumberFormat="1" applyFont="1" applyFill="1" applyBorder="1" applyAlignment="1" applyProtection="1">
      <alignment horizontal="right" vertical="center"/>
    </xf>
    <xf numFmtId="4" fontId="13" fillId="0" borderId="20" xfId="0" applyNumberFormat="1" applyFont="1" applyFill="1" applyBorder="1" applyAlignment="1" applyProtection="1">
      <alignment horizontal="righ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0" fontId="1" fillId="0" borderId="33" xfId="0" applyNumberFormat="1" applyFont="1" applyFill="1" applyBorder="1" applyAlignment="1" applyProtection="1">
      <alignment vertical="center"/>
    </xf>
    <xf numFmtId="4" fontId="12" fillId="3" borderId="37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8" fillId="2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12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0" fontId="8" fillId="2" borderId="7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/>
    </xf>
    <xf numFmtId="49" fontId="13" fillId="0" borderId="27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39" xfId="0" applyNumberFormat="1" applyFont="1" applyFill="1" applyBorder="1" applyAlignment="1" applyProtection="1">
      <alignment horizontal="left" vertical="center"/>
    </xf>
    <xf numFmtId="49" fontId="13" fillId="0" borderId="36" xfId="0" applyNumberFormat="1" applyFont="1" applyFill="1" applyBorder="1" applyAlignment="1" applyProtection="1">
      <alignment horizontal="left" vertical="center"/>
    </xf>
    <xf numFmtId="0" fontId="13" fillId="0" borderId="9" xfId="0" applyNumberFormat="1" applyFont="1" applyFill="1" applyBorder="1" applyAlignment="1" applyProtection="1">
      <alignment horizontal="left" vertical="center"/>
    </xf>
    <xf numFmtId="0" fontId="13" fillId="0" borderId="40" xfId="0" applyNumberFormat="1" applyFont="1" applyFill="1" applyBorder="1" applyAlignment="1" applyProtection="1">
      <alignment horizontal="left" vertical="center"/>
    </xf>
    <xf numFmtId="49" fontId="12" fillId="3" borderId="33" xfId="0" applyNumberFormat="1" applyFont="1" applyFill="1" applyBorder="1" applyAlignment="1" applyProtection="1">
      <alignment horizontal="left" vertical="center"/>
    </xf>
    <xf numFmtId="0" fontId="12" fillId="3" borderId="29" xfId="0" applyNumberFormat="1" applyFont="1" applyFill="1" applyBorder="1" applyAlignment="1" applyProtection="1">
      <alignment horizontal="left" vertical="center"/>
    </xf>
    <xf numFmtId="49" fontId="13" fillId="0" borderId="35" xfId="0" applyNumberFormat="1" applyFont="1" applyFill="1" applyBorder="1" applyAlignment="1" applyProtection="1">
      <alignment horizontal="left" vertical="center"/>
    </xf>
    <xf numFmtId="0" fontId="13" fillId="0" borderId="7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12" fillId="0" borderId="37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3" fillId="0" borderId="37" xfId="0" applyNumberFormat="1" applyFont="1" applyFill="1" applyBorder="1" applyAlignment="1" applyProtection="1">
      <alignment horizontal="left" vertical="center"/>
    </xf>
    <xf numFmtId="49" fontId="10" fillId="0" borderId="29" xfId="0" applyNumberFormat="1" applyFont="1" applyFill="1" applyBorder="1" applyAlignment="1" applyProtection="1">
      <alignment horizontal="center" vertical="center"/>
    </xf>
    <xf numFmtId="0" fontId="10" fillId="0" borderId="29" xfId="0" applyNumberFormat="1" applyFont="1" applyFill="1" applyBorder="1" applyAlignment="1" applyProtection="1">
      <alignment horizontal="center" vertical="center"/>
    </xf>
    <xf numFmtId="49" fontId="14" fillId="0" borderId="33" xfId="0" applyNumberFormat="1" applyFont="1" applyFill="1" applyBorder="1" applyAlignment="1" applyProtection="1">
      <alignment horizontal="left" vertical="center"/>
    </xf>
    <xf numFmtId="0" fontId="14" fillId="0" borderId="37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 wrapText="1"/>
    </xf>
    <xf numFmtId="0" fontId="1" fillId="0" borderId="41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3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27"/>
  <sheetViews>
    <sheetView tabSelected="1" zoomScale="85" zoomScaleNormal="85" workbookViewId="0">
      <pane ySplit="11" topLeftCell="A29" activePane="bottomLeft" state="frozenSplit"/>
      <selection pane="bottomLeft" activeCell="A37" sqref="A37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81.7109375" customWidth="1"/>
    <col min="6" max="6" width="5.85546875" customWidth="1"/>
    <col min="7" max="7" width="12.85546875" customWidth="1"/>
    <col min="8" max="8" width="12" customWidth="1"/>
    <col min="9" max="11" width="14.28515625" customWidth="1"/>
    <col min="12" max="12" width="11.7109375" customWidth="1"/>
    <col min="25" max="62" width="12.140625" hidden="1" customWidth="1"/>
  </cols>
  <sheetData>
    <row r="1" spans="1:62" ht="72.95" customHeight="1" x14ac:dyDescent="0.35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62" x14ac:dyDescent="0.2">
      <c r="A2" s="90" t="s">
        <v>1</v>
      </c>
      <c r="B2" s="91"/>
      <c r="C2" s="92" t="s">
        <v>344</v>
      </c>
      <c r="D2" s="94" t="s">
        <v>817</v>
      </c>
      <c r="E2" s="91"/>
      <c r="F2" s="94" t="s">
        <v>6</v>
      </c>
      <c r="G2" s="91"/>
      <c r="H2" s="95" t="s">
        <v>830</v>
      </c>
      <c r="I2" s="95" t="s">
        <v>836</v>
      </c>
      <c r="J2" s="91"/>
      <c r="K2" s="91"/>
      <c r="L2" s="96"/>
      <c r="M2" s="30"/>
    </row>
    <row r="3" spans="1:62" x14ac:dyDescent="0.2">
      <c r="A3" s="87"/>
      <c r="B3" s="65"/>
      <c r="C3" s="93"/>
      <c r="D3" s="65"/>
      <c r="E3" s="65"/>
      <c r="F3" s="65"/>
      <c r="G3" s="65"/>
      <c r="H3" s="65"/>
      <c r="I3" s="65"/>
      <c r="J3" s="65"/>
      <c r="K3" s="65"/>
      <c r="L3" s="85"/>
      <c r="M3" s="30"/>
    </row>
    <row r="4" spans="1:62" x14ac:dyDescent="0.2">
      <c r="A4" s="81" t="s">
        <v>2</v>
      </c>
      <c r="B4" s="65"/>
      <c r="C4" s="64" t="s">
        <v>345</v>
      </c>
      <c r="D4" s="84" t="s">
        <v>818</v>
      </c>
      <c r="E4" s="65"/>
      <c r="F4" s="84" t="s">
        <v>6</v>
      </c>
      <c r="G4" s="65"/>
      <c r="H4" s="64" t="s">
        <v>831</v>
      </c>
      <c r="I4" s="64" t="s">
        <v>837</v>
      </c>
      <c r="J4" s="65"/>
      <c r="K4" s="65"/>
      <c r="L4" s="85"/>
      <c r="M4" s="30"/>
    </row>
    <row r="5" spans="1:62" x14ac:dyDescent="0.2">
      <c r="A5" s="87"/>
      <c r="B5" s="65"/>
      <c r="C5" s="65"/>
      <c r="D5" s="65"/>
      <c r="E5" s="65"/>
      <c r="F5" s="65"/>
      <c r="G5" s="65"/>
      <c r="H5" s="65"/>
      <c r="I5" s="65"/>
      <c r="J5" s="65"/>
      <c r="K5" s="65"/>
      <c r="L5" s="85"/>
      <c r="M5" s="30"/>
    </row>
    <row r="6" spans="1:62" x14ac:dyDescent="0.2">
      <c r="A6" s="81" t="s">
        <v>3</v>
      </c>
      <c r="B6" s="65"/>
      <c r="C6" s="64" t="s">
        <v>346</v>
      </c>
      <c r="D6" s="84" t="s">
        <v>819</v>
      </c>
      <c r="E6" s="65"/>
      <c r="F6" s="84" t="s">
        <v>6</v>
      </c>
      <c r="G6" s="65"/>
      <c r="H6" s="64" t="s">
        <v>832</v>
      </c>
      <c r="I6" s="64" t="s">
        <v>838</v>
      </c>
      <c r="J6" s="65"/>
      <c r="K6" s="65"/>
      <c r="L6" s="85"/>
      <c r="M6" s="30"/>
    </row>
    <row r="7" spans="1:62" x14ac:dyDescent="0.2">
      <c r="A7" s="87"/>
      <c r="B7" s="65"/>
      <c r="C7" s="65"/>
      <c r="D7" s="65"/>
      <c r="E7" s="65"/>
      <c r="F7" s="65"/>
      <c r="G7" s="65"/>
      <c r="H7" s="65"/>
      <c r="I7" s="65"/>
      <c r="J7" s="65"/>
      <c r="K7" s="65"/>
      <c r="L7" s="85"/>
      <c r="M7" s="30"/>
    </row>
    <row r="8" spans="1:62" x14ac:dyDescent="0.2">
      <c r="A8" s="81" t="s">
        <v>4</v>
      </c>
      <c r="B8" s="65"/>
      <c r="C8" s="64" t="s">
        <v>6</v>
      </c>
      <c r="D8" s="84" t="s">
        <v>820</v>
      </c>
      <c r="E8" s="65"/>
      <c r="F8" s="84" t="s">
        <v>821</v>
      </c>
      <c r="G8" s="65"/>
      <c r="H8" s="64" t="s">
        <v>833</v>
      </c>
      <c r="I8" s="64" t="s">
        <v>837</v>
      </c>
      <c r="J8" s="65"/>
      <c r="K8" s="65"/>
      <c r="L8" s="85"/>
      <c r="M8" s="30"/>
    </row>
    <row r="9" spans="1:62" x14ac:dyDescent="0.2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6"/>
      <c r="M9" s="30"/>
    </row>
    <row r="10" spans="1:62" x14ac:dyDescent="0.2">
      <c r="A10" s="1" t="s">
        <v>5</v>
      </c>
      <c r="B10" s="10" t="s">
        <v>169</v>
      </c>
      <c r="C10" s="70" t="s">
        <v>347</v>
      </c>
      <c r="D10" s="71"/>
      <c r="E10" s="72"/>
      <c r="F10" s="10" t="s">
        <v>822</v>
      </c>
      <c r="G10" s="14" t="s">
        <v>829</v>
      </c>
      <c r="H10" s="19" t="s">
        <v>834</v>
      </c>
      <c r="I10" s="73" t="s">
        <v>839</v>
      </c>
      <c r="J10" s="74"/>
      <c r="K10" s="75"/>
      <c r="L10" s="24" t="s">
        <v>844</v>
      </c>
      <c r="M10" s="31"/>
    </row>
    <row r="11" spans="1:62" x14ac:dyDescent="0.2">
      <c r="A11" s="2" t="s">
        <v>6</v>
      </c>
      <c r="B11" s="11" t="s">
        <v>6</v>
      </c>
      <c r="C11" s="76" t="s">
        <v>348</v>
      </c>
      <c r="D11" s="77"/>
      <c r="E11" s="78"/>
      <c r="F11" s="11" t="s">
        <v>6</v>
      </c>
      <c r="G11" s="11" t="s">
        <v>6</v>
      </c>
      <c r="H11" s="20" t="s">
        <v>835</v>
      </c>
      <c r="I11" s="21" t="s">
        <v>840</v>
      </c>
      <c r="J11" s="22" t="s">
        <v>842</v>
      </c>
      <c r="K11" s="23" t="s">
        <v>843</v>
      </c>
      <c r="L11" s="25" t="s">
        <v>845</v>
      </c>
      <c r="M11" s="31"/>
      <c r="Z11" s="28" t="s">
        <v>848</v>
      </c>
      <c r="AA11" s="28" t="s">
        <v>849</v>
      </c>
      <c r="AB11" s="28" t="s">
        <v>850</v>
      </c>
      <c r="AC11" s="28" t="s">
        <v>851</v>
      </c>
      <c r="AD11" s="28" t="s">
        <v>852</v>
      </c>
      <c r="AE11" s="28" t="s">
        <v>853</v>
      </c>
      <c r="AF11" s="28" t="s">
        <v>854</v>
      </c>
      <c r="AG11" s="28" t="s">
        <v>855</v>
      </c>
      <c r="AH11" s="28" t="s">
        <v>856</v>
      </c>
      <c r="BH11" s="28" t="s">
        <v>896</v>
      </c>
      <c r="BI11" s="28" t="s">
        <v>897</v>
      </c>
      <c r="BJ11" s="28" t="s">
        <v>898</v>
      </c>
    </row>
    <row r="12" spans="1:62" x14ac:dyDescent="0.2">
      <c r="A12" s="3"/>
      <c r="B12" s="12" t="s">
        <v>7</v>
      </c>
      <c r="C12" s="79" t="s">
        <v>349</v>
      </c>
      <c r="D12" s="80"/>
      <c r="E12" s="80"/>
      <c r="F12" s="3" t="s">
        <v>6</v>
      </c>
      <c r="G12" s="3" t="s">
        <v>6</v>
      </c>
      <c r="H12" s="3" t="s">
        <v>6</v>
      </c>
      <c r="I12" s="34">
        <f>SUM(I13:I13)</f>
        <v>0</v>
      </c>
      <c r="J12" s="34">
        <f>SUM(J13:J13)</f>
        <v>0</v>
      </c>
      <c r="K12" s="34">
        <f>SUM(K13:K13)</f>
        <v>0</v>
      </c>
      <c r="L12" s="26"/>
      <c r="AI12" s="28"/>
      <c r="AS12" s="35">
        <f>SUM(AJ13:AJ13)</f>
        <v>0</v>
      </c>
      <c r="AT12" s="35">
        <f>SUM(AK13:AK13)</f>
        <v>0</v>
      </c>
      <c r="AU12" s="35">
        <f>SUM(AL13:AL13)</f>
        <v>0</v>
      </c>
    </row>
    <row r="13" spans="1:62" x14ac:dyDescent="0.2">
      <c r="A13" s="4" t="s">
        <v>7</v>
      </c>
      <c r="B13" s="4" t="s">
        <v>170</v>
      </c>
      <c r="C13" s="56" t="s">
        <v>350</v>
      </c>
      <c r="D13" s="57"/>
      <c r="E13" s="57"/>
      <c r="F13" s="4" t="s">
        <v>823</v>
      </c>
      <c r="G13" s="15">
        <v>65</v>
      </c>
      <c r="H13" s="15">
        <v>0</v>
      </c>
      <c r="I13" s="15">
        <f>G13*AO13</f>
        <v>0</v>
      </c>
      <c r="J13" s="15">
        <f>G13*AP13</f>
        <v>0</v>
      </c>
      <c r="K13" s="15">
        <f>G13*H13</f>
        <v>0</v>
      </c>
      <c r="L13" s="27" t="s">
        <v>846</v>
      </c>
      <c r="Z13" s="32">
        <f>IF(AQ13="5",BJ13,0)</f>
        <v>0</v>
      </c>
      <c r="AB13" s="32">
        <f>IF(AQ13="1",BH13,0)</f>
        <v>0</v>
      </c>
      <c r="AC13" s="32">
        <f>IF(AQ13="1",BI13,0)</f>
        <v>0</v>
      </c>
      <c r="AD13" s="32">
        <f>IF(AQ13="7",BH13,0)</f>
        <v>0</v>
      </c>
      <c r="AE13" s="32">
        <f>IF(AQ13="7",BI13,0)</f>
        <v>0</v>
      </c>
      <c r="AF13" s="32">
        <f>IF(AQ13="2",BH13,0)</f>
        <v>0</v>
      </c>
      <c r="AG13" s="32">
        <f>IF(AQ13="2",BI13,0)</f>
        <v>0</v>
      </c>
      <c r="AH13" s="32">
        <f>IF(AQ13="0",BJ13,0)</f>
        <v>0</v>
      </c>
      <c r="AI13" s="28"/>
      <c r="AJ13" s="15">
        <f>IF(AN13=0,K13,0)</f>
        <v>0</v>
      </c>
      <c r="AK13" s="15">
        <f>IF(AN13=15,K13,0)</f>
        <v>0</v>
      </c>
      <c r="AL13" s="15">
        <f>IF(AN13=21,K13,0)</f>
        <v>0</v>
      </c>
      <c r="AN13" s="32">
        <v>21</v>
      </c>
      <c r="AO13" s="32">
        <f>H13*0</f>
        <v>0</v>
      </c>
      <c r="AP13" s="32">
        <f>H13*(1-0)</f>
        <v>0</v>
      </c>
      <c r="AQ13" s="27" t="s">
        <v>7</v>
      </c>
      <c r="AV13" s="32">
        <f>AW13+AX13</f>
        <v>0</v>
      </c>
      <c r="AW13" s="32">
        <f>G13*AO13</f>
        <v>0</v>
      </c>
      <c r="AX13" s="32">
        <f>G13*AP13</f>
        <v>0</v>
      </c>
      <c r="AY13" s="33" t="s">
        <v>857</v>
      </c>
      <c r="AZ13" s="33" t="s">
        <v>857</v>
      </c>
      <c r="BA13" s="28" t="s">
        <v>895</v>
      </c>
      <c r="BC13" s="32">
        <f>AW13+AX13</f>
        <v>0</v>
      </c>
      <c r="BD13" s="32">
        <f>H13/(100-BE13)*100</f>
        <v>0</v>
      </c>
      <c r="BE13" s="32">
        <v>0</v>
      </c>
      <c r="BF13" s="32">
        <f>13</f>
        <v>13</v>
      </c>
      <c r="BH13" s="15">
        <f>G13*AO13</f>
        <v>0</v>
      </c>
      <c r="BI13" s="15">
        <f>G13*AP13</f>
        <v>0</v>
      </c>
      <c r="BJ13" s="15">
        <f>G13*H13</f>
        <v>0</v>
      </c>
    </row>
    <row r="14" spans="1:62" x14ac:dyDescent="0.2">
      <c r="C14" s="58" t="s">
        <v>351</v>
      </c>
      <c r="D14" s="59"/>
      <c r="E14" s="59"/>
      <c r="G14" s="16">
        <v>65</v>
      </c>
    </row>
    <row r="15" spans="1:62" x14ac:dyDescent="0.2">
      <c r="A15" s="5"/>
      <c r="B15" s="13" t="s">
        <v>19</v>
      </c>
      <c r="C15" s="66" t="s">
        <v>352</v>
      </c>
      <c r="D15" s="67"/>
      <c r="E15" s="67"/>
      <c r="F15" s="5" t="s">
        <v>6</v>
      </c>
      <c r="G15" s="5" t="s">
        <v>6</v>
      </c>
      <c r="H15" s="5" t="s">
        <v>6</v>
      </c>
      <c r="I15" s="35">
        <f>SUM(I16:I16)</f>
        <v>0</v>
      </c>
      <c r="J15" s="35">
        <f>SUM(J16:J16)</f>
        <v>0</v>
      </c>
      <c r="K15" s="35">
        <f>SUM(K16:K16)</f>
        <v>0</v>
      </c>
      <c r="L15" s="28"/>
      <c r="AI15" s="28"/>
      <c r="AS15" s="35">
        <f>SUM(AJ16:AJ16)</f>
        <v>0</v>
      </c>
      <c r="AT15" s="35">
        <f>SUM(AK16:AK16)</f>
        <v>0</v>
      </c>
      <c r="AU15" s="35">
        <f>SUM(AL16:AL16)</f>
        <v>0</v>
      </c>
    </row>
    <row r="16" spans="1:62" x14ac:dyDescent="0.2">
      <c r="A16" s="4" t="s">
        <v>8</v>
      </c>
      <c r="B16" s="4" t="s">
        <v>171</v>
      </c>
      <c r="C16" s="56" t="s">
        <v>353</v>
      </c>
      <c r="D16" s="57"/>
      <c r="E16" s="57"/>
      <c r="F16" s="4" t="s">
        <v>824</v>
      </c>
      <c r="G16" s="15">
        <v>19.5</v>
      </c>
      <c r="H16" s="15">
        <v>0</v>
      </c>
      <c r="I16" s="15">
        <f>G16*AO16</f>
        <v>0</v>
      </c>
      <c r="J16" s="15">
        <f>G16*AP16</f>
        <v>0</v>
      </c>
      <c r="K16" s="15">
        <f>G16*H16</f>
        <v>0</v>
      </c>
      <c r="L16" s="27" t="s">
        <v>846</v>
      </c>
      <c r="Z16" s="32">
        <f>IF(AQ16="5",BJ16,0)</f>
        <v>0</v>
      </c>
      <c r="AB16" s="32">
        <f>IF(AQ16="1",BH16,0)</f>
        <v>0</v>
      </c>
      <c r="AC16" s="32">
        <f>IF(AQ16="1",BI16,0)</f>
        <v>0</v>
      </c>
      <c r="AD16" s="32">
        <f>IF(AQ16="7",BH16,0)</f>
        <v>0</v>
      </c>
      <c r="AE16" s="32">
        <f>IF(AQ16="7",BI16,0)</f>
        <v>0</v>
      </c>
      <c r="AF16" s="32">
        <f>IF(AQ16="2",BH16,0)</f>
        <v>0</v>
      </c>
      <c r="AG16" s="32">
        <f>IF(AQ16="2",BI16,0)</f>
        <v>0</v>
      </c>
      <c r="AH16" s="32">
        <f>IF(AQ16="0",BJ16,0)</f>
        <v>0</v>
      </c>
      <c r="AI16" s="28"/>
      <c r="AJ16" s="15">
        <f>IF(AN16=0,K16,0)</f>
        <v>0</v>
      </c>
      <c r="AK16" s="15">
        <f>IF(AN16=15,K16,0)</f>
        <v>0</v>
      </c>
      <c r="AL16" s="15">
        <f>IF(AN16=21,K16,0)</f>
        <v>0</v>
      </c>
      <c r="AN16" s="32">
        <v>21</v>
      </c>
      <c r="AO16" s="32">
        <f>H16*0</f>
        <v>0</v>
      </c>
      <c r="AP16" s="32">
        <f>H16*(1-0)</f>
        <v>0</v>
      </c>
      <c r="AQ16" s="27" t="s">
        <v>7</v>
      </c>
      <c r="AV16" s="32">
        <f>AW16+AX16</f>
        <v>0</v>
      </c>
      <c r="AW16" s="32">
        <f>G16*AO16</f>
        <v>0</v>
      </c>
      <c r="AX16" s="32">
        <f>G16*AP16</f>
        <v>0</v>
      </c>
      <c r="AY16" s="33" t="s">
        <v>858</v>
      </c>
      <c r="AZ16" s="33" t="s">
        <v>857</v>
      </c>
      <c r="BA16" s="28" t="s">
        <v>895</v>
      </c>
      <c r="BC16" s="32">
        <f>AW16+AX16</f>
        <v>0</v>
      </c>
      <c r="BD16" s="32">
        <f>H16/(100-BE16)*100</f>
        <v>0</v>
      </c>
      <c r="BE16" s="32">
        <v>0</v>
      </c>
      <c r="BF16" s="32">
        <f>16</f>
        <v>16</v>
      </c>
      <c r="BH16" s="15">
        <f>G16*AO16</f>
        <v>0</v>
      </c>
      <c r="BI16" s="15">
        <f>G16*AP16</f>
        <v>0</v>
      </c>
      <c r="BJ16" s="15">
        <f>G16*H16</f>
        <v>0</v>
      </c>
    </row>
    <row r="17" spans="1:62" x14ac:dyDescent="0.2">
      <c r="C17" s="58" t="s">
        <v>354</v>
      </c>
      <c r="D17" s="59"/>
      <c r="E17" s="59"/>
      <c r="G17" s="16">
        <v>19.5</v>
      </c>
    </row>
    <row r="18" spans="1:62" x14ac:dyDescent="0.2">
      <c r="A18" s="5"/>
      <c r="B18" s="13" t="s">
        <v>22</v>
      </c>
      <c r="C18" s="66" t="s">
        <v>355</v>
      </c>
      <c r="D18" s="67"/>
      <c r="E18" s="67"/>
      <c r="F18" s="5" t="s">
        <v>6</v>
      </c>
      <c r="G18" s="5" t="s">
        <v>6</v>
      </c>
      <c r="H18" s="5" t="s">
        <v>6</v>
      </c>
      <c r="I18" s="35">
        <f>SUM(I19:I22)</f>
        <v>0</v>
      </c>
      <c r="J18" s="35">
        <f>SUM(J19:J22)</f>
        <v>0</v>
      </c>
      <c r="K18" s="35">
        <f>SUM(K19:K22)</f>
        <v>0</v>
      </c>
      <c r="L18" s="28"/>
      <c r="AI18" s="28"/>
      <c r="AS18" s="35">
        <f>SUM(AJ19:AJ22)</f>
        <v>0</v>
      </c>
      <c r="AT18" s="35">
        <f>SUM(AK19:AK22)</f>
        <v>0</v>
      </c>
      <c r="AU18" s="35">
        <f>SUM(AL19:AL22)</f>
        <v>0</v>
      </c>
    </row>
    <row r="19" spans="1:62" x14ac:dyDescent="0.2">
      <c r="A19" s="4" t="s">
        <v>9</v>
      </c>
      <c r="B19" s="4" t="s">
        <v>172</v>
      </c>
      <c r="C19" s="56" t="s">
        <v>356</v>
      </c>
      <c r="D19" s="57"/>
      <c r="E19" s="57"/>
      <c r="F19" s="4" t="s">
        <v>824</v>
      </c>
      <c r="G19" s="15">
        <v>5.46</v>
      </c>
      <c r="H19" s="15">
        <v>0</v>
      </c>
      <c r="I19" s="15">
        <f>G19*AO19</f>
        <v>0</v>
      </c>
      <c r="J19" s="15">
        <f>G19*AP19</f>
        <v>0</v>
      </c>
      <c r="K19" s="15">
        <f>G19*H19</f>
        <v>0</v>
      </c>
      <c r="L19" s="27" t="s">
        <v>846</v>
      </c>
      <c r="Z19" s="32">
        <f>IF(AQ19="5",BJ19,0)</f>
        <v>0</v>
      </c>
      <c r="AB19" s="32">
        <f>IF(AQ19="1",BH19,0)</f>
        <v>0</v>
      </c>
      <c r="AC19" s="32">
        <f>IF(AQ19="1",BI19,0)</f>
        <v>0</v>
      </c>
      <c r="AD19" s="32">
        <f>IF(AQ19="7",BH19,0)</f>
        <v>0</v>
      </c>
      <c r="AE19" s="32">
        <f>IF(AQ19="7",BI19,0)</f>
        <v>0</v>
      </c>
      <c r="AF19" s="32">
        <f>IF(AQ19="2",BH19,0)</f>
        <v>0</v>
      </c>
      <c r="AG19" s="32">
        <f>IF(AQ19="2",BI19,0)</f>
        <v>0</v>
      </c>
      <c r="AH19" s="32">
        <f>IF(AQ19="0",BJ19,0)</f>
        <v>0</v>
      </c>
      <c r="AI19" s="28"/>
      <c r="AJ19" s="15">
        <f>IF(AN19=0,K19,0)</f>
        <v>0</v>
      </c>
      <c r="AK19" s="15">
        <f>IF(AN19=15,K19,0)</f>
        <v>0</v>
      </c>
      <c r="AL19" s="15">
        <f>IF(AN19=21,K19,0)</f>
        <v>0</v>
      </c>
      <c r="AN19" s="32">
        <v>21</v>
      </c>
      <c r="AO19" s="32">
        <f>H19*0</f>
        <v>0</v>
      </c>
      <c r="AP19" s="32">
        <f>H19*(1-0)</f>
        <v>0</v>
      </c>
      <c r="AQ19" s="27" t="s">
        <v>7</v>
      </c>
      <c r="AV19" s="32">
        <f>AW19+AX19</f>
        <v>0</v>
      </c>
      <c r="AW19" s="32">
        <f>G19*AO19</f>
        <v>0</v>
      </c>
      <c r="AX19" s="32">
        <f>G19*AP19</f>
        <v>0</v>
      </c>
      <c r="AY19" s="33" t="s">
        <v>859</v>
      </c>
      <c r="AZ19" s="33" t="s">
        <v>857</v>
      </c>
      <c r="BA19" s="28" t="s">
        <v>895</v>
      </c>
      <c r="BC19" s="32">
        <f>AW19+AX19</f>
        <v>0</v>
      </c>
      <c r="BD19" s="32">
        <f>H19/(100-BE19)*100</f>
        <v>0</v>
      </c>
      <c r="BE19" s="32">
        <v>0</v>
      </c>
      <c r="BF19" s="32">
        <f>19</f>
        <v>19</v>
      </c>
      <c r="BH19" s="15">
        <f>G19*AO19</f>
        <v>0</v>
      </c>
      <c r="BI19" s="15">
        <f>G19*AP19</f>
        <v>0</v>
      </c>
      <c r="BJ19" s="15">
        <f>G19*H19</f>
        <v>0</v>
      </c>
    </row>
    <row r="20" spans="1:62" x14ac:dyDescent="0.2">
      <c r="C20" s="58" t="s">
        <v>357</v>
      </c>
      <c r="D20" s="59"/>
      <c r="E20" s="59"/>
      <c r="G20" s="16">
        <v>19.5</v>
      </c>
    </row>
    <row r="21" spans="1:62" x14ac:dyDescent="0.2">
      <c r="C21" s="58" t="s">
        <v>358</v>
      </c>
      <c r="D21" s="59"/>
      <c r="E21" s="59"/>
      <c r="G21" s="16">
        <v>-14.04</v>
      </c>
    </row>
    <row r="22" spans="1:62" x14ac:dyDescent="0.2">
      <c r="A22" s="4" t="s">
        <v>10</v>
      </c>
      <c r="B22" s="4" t="s">
        <v>173</v>
      </c>
      <c r="C22" s="56" t="s">
        <v>359</v>
      </c>
      <c r="D22" s="57"/>
      <c r="E22" s="57"/>
      <c r="F22" s="4" t="s">
        <v>824</v>
      </c>
      <c r="G22" s="15">
        <v>5.46</v>
      </c>
      <c r="H22" s="15">
        <v>0</v>
      </c>
      <c r="I22" s="15">
        <f>G22*AO22</f>
        <v>0</v>
      </c>
      <c r="J22" s="15">
        <f>G22*AP22</f>
        <v>0</v>
      </c>
      <c r="K22" s="15">
        <f>G22*H22</f>
        <v>0</v>
      </c>
      <c r="L22" s="27" t="s">
        <v>846</v>
      </c>
      <c r="Z22" s="32">
        <f>IF(AQ22="5",BJ22,0)</f>
        <v>0</v>
      </c>
      <c r="AB22" s="32">
        <f>IF(AQ22="1",BH22,0)</f>
        <v>0</v>
      </c>
      <c r="AC22" s="32">
        <f>IF(AQ22="1",BI22,0)</f>
        <v>0</v>
      </c>
      <c r="AD22" s="32">
        <f>IF(AQ22="7",BH22,0)</f>
        <v>0</v>
      </c>
      <c r="AE22" s="32">
        <f>IF(AQ22="7",BI22,0)</f>
        <v>0</v>
      </c>
      <c r="AF22" s="32">
        <f>IF(AQ22="2",BH22,0)</f>
        <v>0</v>
      </c>
      <c r="AG22" s="32">
        <f>IF(AQ22="2",BI22,0)</f>
        <v>0</v>
      </c>
      <c r="AH22" s="32">
        <f>IF(AQ22="0",BJ22,0)</f>
        <v>0</v>
      </c>
      <c r="AI22" s="28"/>
      <c r="AJ22" s="15">
        <f>IF(AN22=0,K22,0)</f>
        <v>0</v>
      </c>
      <c r="AK22" s="15">
        <f>IF(AN22=15,K22,0)</f>
        <v>0</v>
      </c>
      <c r="AL22" s="15">
        <f>IF(AN22=21,K22,0)</f>
        <v>0</v>
      </c>
      <c r="AN22" s="32">
        <v>21</v>
      </c>
      <c r="AO22" s="32">
        <f>H22*0</f>
        <v>0</v>
      </c>
      <c r="AP22" s="32">
        <f>H22*(1-0)</f>
        <v>0</v>
      </c>
      <c r="AQ22" s="27" t="s">
        <v>7</v>
      </c>
      <c r="AV22" s="32">
        <f>AW22+AX22</f>
        <v>0</v>
      </c>
      <c r="AW22" s="32">
        <f>G22*AO22</f>
        <v>0</v>
      </c>
      <c r="AX22" s="32">
        <f>G22*AP22</f>
        <v>0</v>
      </c>
      <c r="AY22" s="33" t="s">
        <v>859</v>
      </c>
      <c r="AZ22" s="33" t="s">
        <v>857</v>
      </c>
      <c r="BA22" s="28" t="s">
        <v>895</v>
      </c>
      <c r="BC22" s="32">
        <f>AW22+AX22</f>
        <v>0</v>
      </c>
      <c r="BD22" s="32">
        <f>H22/(100-BE22)*100</f>
        <v>0</v>
      </c>
      <c r="BE22" s="32">
        <v>0</v>
      </c>
      <c r="BF22" s="32">
        <f>22</f>
        <v>22</v>
      </c>
      <c r="BH22" s="15">
        <f>G22*AO22</f>
        <v>0</v>
      </c>
      <c r="BI22" s="15">
        <f>G22*AP22</f>
        <v>0</v>
      </c>
      <c r="BJ22" s="15">
        <f>G22*H22</f>
        <v>0</v>
      </c>
    </row>
    <row r="23" spans="1:62" x14ac:dyDescent="0.2">
      <c r="C23" s="58" t="s">
        <v>360</v>
      </c>
      <c r="D23" s="59"/>
      <c r="E23" s="59"/>
      <c r="G23" s="16">
        <v>5.46</v>
      </c>
    </row>
    <row r="24" spans="1:62" x14ac:dyDescent="0.2">
      <c r="A24" s="5"/>
      <c r="B24" s="13" t="s">
        <v>23</v>
      </c>
      <c r="C24" s="66" t="s">
        <v>361</v>
      </c>
      <c r="D24" s="67"/>
      <c r="E24" s="67"/>
      <c r="F24" s="5" t="s">
        <v>6</v>
      </c>
      <c r="G24" s="5" t="s">
        <v>6</v>
      </c>
      <c r="H24" s="5" t="s">
        <v>6</v>
      </c>
      <c r="I24" s="35">
        <f>SUM(I25:I30)</f>
        <v>0</v>
      </c>
      <c r="J24" s="35">
        <f>SUM(J25:J30)</f>
        <v>0</v>
      </c>
      <c r="K24" s="35">
        <f>SUM(K25:K30)</f>
        <v>0</v>
      </c>
      <c r="L24" s="28"/>
      <c r="AI24" s="28"/>
      <c r="AS24" s="35">
        <f>SUM(AJ25:AJ30)</f>
        <v>0</v>
      </c>
      <c r="AT24" s="35">
        <f>SUM(AK25:AK30)</f>
        <v>0</v>
      </c>
      <c r="AU24" s="35">
        <f>SUM(AL25:AL30)</f>
        <v>0</v>
      </c>
    </row>
    <row r="25" spans="1:62" x14ac:dyDescent="0.2">
      <c r="A25" s="4" t="s">
        <v>11</v>
      </c>
      <c r="B25" s="4" t="s">
        <v>174</v>
      </c>
      <c r="C25" s="56" t="s">
        <v>362</v>
      </c>
      <c r="D25" s="57"/>
      <c r="E25" s="57"/>
      <c r="F25" s="4" t="s">
        <v>824</v>
      </c>
      <c r="G25" s="15">
        <v>14.04</v>
      </c>
      <c r="H25" s="15">
        <v>0</v>
      </c>
      <c r="I25" s="15">
        <f>G25*AO25</f>
        <v>0</v>
      </c>
      <c r="J25" s="15">
        <f>G25*AP25</f>
        <v>0</v>
      </c>
      <c r="K25" s="15">
        <f>G25*H25</f>
        <v>0</v>
      </c>
      <c r="L25" s="27" t="s">
        <v>846</v>
      </c>
      <c r="Z25" s="32">
        <f>IF(AQ25="5",BJ25,0)</f>
        <v>0</v>
      </c>
      <c r="AB25" s="32">
        <f>IF(AQ25="1",BH25,0)</f>
        <v>0</v>
      </c>
      <c r="AC25" s="32">
        <f>IF(AQ25="1",BI25,0)</f>
        <v>0</v>
      </c>
      <c r="AD25" s="32">
        <f>IF(AQ25="7",BH25,0)</f>
        <v>0</v>
      </c>
      <c r="AE25" s="32">
        <f>IF(AQ25="7",BI25,0)</f>
        <v>0</v>
      </c>
      <c r="AF25" s="32">
        <f>IF(AQ25="2",BH25,0)</f>
        <v>0</v>
      </c>
      <c r="AG25" s="32">
        <f>IF(AQ25="2",BI25,0)</f>
        <v>0</v>
      </c>
      <c r="AH25" s="32">
        <f>IF(AQ25="0",BJ25,0)</f>
        <v>0</v>
      </c>
      <c r="AI25" s="28"/>
      <c r="AJ25" s="15">
        <f>IF(AN25=0,K25,0)</f>
        <v>0</v>
      </c>
      <c r="AK25" s="15">
        <f>IF(AN25=15,K25,0)</f>
        <v>0</v>
      </c>
      <c r="AL25" s="15">
        <f>IF(AN25=21,K25,0)</f>
        <v>0</v>
      </c>
      <c r="AN25" s="32">
        <v>21</v>
      </c>
      <c r="AO25" s="32">
        <f>H25*0</f>
        <v>0</v>
      </c>
      <c r="AP25" s="32">
        <f>H25*(1-0)</f>
        <v>0</v>
      </c>
      <c r="AQ25" s="27" t="s">
        <v>7</v>
      </c>
      <c r="AV25" s="32">
        <f>AW25+AX25</f>
        <v>0</v>
      </c>
      <c r="AW25" s="32">
        <f>G25*AO25</f>
        <v>0</v>
      </c>
      <c r="AX25" s="32">
        <f>G25*AP25</f>
        <v>0</v>
      </c>
      <c r="AY25" s="33" t="s">
        <v>860</v>
      </c>
      <c r="AZ25" s="33" t="s">
        <v>857</v>
      </c>
      <c r="BA25" s="28" t="s">
        <v>895</v>
      </c>
      <c r="BC25" s="32">
        <f>AW25+AX25</f>
        <v>0</v>
      </c>
      <c r="BD25" s="32">
        <f>H25/(100-BE25)*100</f>
        <v>0</v>
      </c>
      <c r="BE25" s="32">
        <v>0</v>
      </c>
      <c r="BF25" s="32">
        <f>25</f>
        <v>25</v>
      </c>
      <c r="BH25" s="15">
        <f>G25*AO25</f>
        <v>0</v>
      </c>
      <c r="BI25" s="15">
        <f>G25*AP25</f>
        <v>0</v>
      </c>
      <c r="BJ25" s="15">
        <f>G25*H25</f>
        <v>0</v>
      </c>
    </row>
    <row r="26" spans="1:62" x14ac:dyDescent="0.2">
      <c r="C26" s="58" t="s">
        <v>363</v>
      </c>
      <c r="D26" s="59"/>
      <c r="E26" s="59"/>
      <c r="G26" s="16">
        <v>19.5</v>
      </c>
    </row>
    <row r="27" spans="1:62" x14ac:dyDescent="0.2">
      <c r="C27" s="58" t="s">
        <v>364</v>
      </c>
      <c r="D27" s="59"/>
      <c r="E27" s="59"/>
      <c r="G27" s="16">
        <v>-5.46</v>
      </c>
    </row>
    <row r="28" spans="1:62" x14ac:dyDescent="0.2">
      <c r="A28" s="4" t="s">
        <v>12</v>
      </c>
      <c r="B28" s="4" t="s">
        <v>175</v>
      </c>
      <c r="C28" s="56" t="s">
        <v>365</v>
      </c>
      <c r="D28" s="57"/>
      <c r="E28" s="57"/>
      <c r="F28" s="4" t="s">
        <v>824</v>
      </c>
      <c r="G28" s="15">
        <v>5.46</v>
      </c>
      <c r="H28" s="15">
        <v>0</v>
      </c>
      <c r="I28" s="15">
        <f>G28*AO28</f>
        <v>0</v>
      </c>
      <c r="J28" s="15">
        <f>G28*AP28</f>
        <v>0</v>
      </c>
      <c r="K28" s="15">
        <f>G28*H28</f>
        <v>0</v>
      </c>
      <c r="L28" s="27" t="s">
        <v>846</v>
      </c>
      <c r="Z28" s="32">
        <f>IF(AQ28="5",BJ28,0)</f>
        <v>0</v>
      </c>
      <c r="AB28" s="32">
        <f>IF(AQ28="1",BH28,0)</f>
        <v>0</v>
      </c>
      <c r="AC28" s="32">
        <f>IF(AQ28="1",BI28,0)</f>
        <v>0</v>
      </c>
      <c r="AD28" s="32">
        <f>IF(AQ28="7",BH28,0)</f>
        <v>0</v>
      </c>
      <c r="AE28" s="32">
        <f>IF(AQ28="7",BI28,0)</f>
        <v>0</v>
      </c>
      <c r="AF28" s="32">
        <f>IF(AQ28="2",BH28,0)</f>
        <v>0</v>
      </c>
      <c r="AG28" s="32">
        <f>IF(AQ28="2",BI28,0)</f>
        <v>0</v>
      </c>
      <c r="AH28" s="32">
        <f>IF(AQ28="0",BJ28,0)</f>
        <v>0</v>
      </c>
      <c r="AI28" s="28"/>
      <c r="AJ28" s="15">
        <f>IF(AN28=0,K28,0)</f>
        <v>0</v>
      </c>
      <c r="AK28" s="15">
        <f>IF(AN28=15,K28,0)</f>
        <v>0</v>
      </c>
      <c r="AL28" s="15">
        <f>IF(AN28=21,K28,0)</f>
        <v>0</v>
      </c>
      <c r="AN28" s="32">
        <v>21</v>
      </c>
      <c r="AO28" s="32">
        <f>H28*0</f>
        <v>0</v>
      </c>
      <c r="AP28" s="32">
        <f>H28*(1-0)</f>
        <v>0</v>
      </c>
      <c r="AQ28" s="27" t="s">
        <v>7</v>
      </c>
      <c r="AV28" s="32">
        <f>AW28+AX28</f>
        <v>0</v>
      </c>
      <c r="AW28" s="32">
        <f>G28*AO28</f>
        <v>0</v>
      </c>
      <c r="AX28" s="32">
        <f>G28*AP28</f>
        <v>0</v>
      </c>
      <c r="AY28" s="33" t="s">
        <v>860</v>
      </c>
      <c r="AZ28" s="33" t="s">
        <v>857</v>
      </c>
      <c r="BA28" s="28" t="s">
        <v>895</v>
      </c>
      <c r="BC28" s="32">
        <f>AW28+AX28</f>
        <v>0</v>
      </c>
      <c r="BD28" s="32">
        <f>H28/(100-BE28)*100</f>
        <v>0</v>
      </c>
      <c r="BE28" s="32">
        <v>0</v>
      </c>
      <c r="BF28" s="32">
        <f>28</f>
        <v>28</v>
      </c>
      <c r="BH28" s="15">
        <f>G28*AO28</f>
        <v>0</v>
      </c>
      <c r="BI28" s="15">
        <f>G28*AP28</f>
        <v>0</v>
      </c>
      <c r="BJ28" s="15">
        <f>G28*H28</f>
        <v>0</v>
      </c>
    </row>
    <row r="29" spans="1:62" x14ac:dyDescent="0.2">
      <c r="C29" s="58" t="s">
        <v>360</v>
      </c>
      <c r="D29" s="59"/>
      <c r="E29" s="59"/>
      <c r="G29" s="16">
        <v>5.46</v>
      </c>
    </row>
    <row r="30" spans="1:62" x14ac:dyDescent="0.2">
      <c r="A30" s="4" t="s">
        <v>13</v>
      </c>
      <c r="B30" s="4" t="s">
        <v>176</v>
      </c>
      <c r="C30" s="56" t="s">
        <v>366</v>
      </c>
      <c r="D30" s="57"/>
      <c r="E30" s="57"/>
      <c r="F30" s="4" t="s">
        <v>824</v>
      </c>
      <c r="G30" s="15">
        <v>5.46</v>
      </c>
      <c r="H30" s="15">
        <v>0</v>
      </c>
      <c r="I30" s="15">
        <f>G30*AO30</f>
        <v>0</v>
      </c>
      <c r="J30" s="15">
        <f>G30*AP30</f>
        <v>0</v>
      </c>
      <c r="K30" s="15">
        <f>G30*H30</f>
        <v>0</v>
      </c>
      <c r="L30" s="27" t="s">
        <v>846</v>
      </c>
      <c r="Z30" s="32">
        <f>IF(AQ30="5",BJ30,0)</f>
        <v>0</v>
      </c>
      <c r="AB30" s="32">
        <f>IF(AQ30="1",BH30,0)</f>
        <v>0</v>
      </c>
      <c r="AC30" s="32">
        <f>IF(AQ30="1",BI30,0)</f>
        <v>0</v>
      </c>
      <c r="AD30" s="32">
        <f>IF(AQ30="7",BH30,0)</f>
        <v>0</v>
      </c>
      <c r="AE30" s="32">
        <f>IF(AQ30="7",BI30,0)</f>
        <v>0</v>
      </c>
      <c r="AF30" s="32">
        <f>IF(AQ30="2",BH30,0)</f>
        <v>0</v>
      </c>
      <c r="AG30" s="32">
        <f>IF(AQ30="2",BI30,0)</f>
        <v>0</v>
      </c>
      <c r="AH30" s="32">
        <f>IF(AQ30="0",BJ30,0)</f>
        <v>0</v>
      </c>
      <c r="AI30" s="28"/>
      <c r="AJ30" s="15">
        <f>IF(AN30=0,K30,0)</f>
        <v>0</v>
      </c>
      <c r="AK30" s="15">
        <f>IF(AN30=15,K30,0)</f>
        <v>0</v>
      </c>
      <c r="AL30" s="15">
        <f>IF(AN30=21,K30,0)</f>
        <v>0</v>
      </c>
      <c r="AN30" s="32">
        <v>21</v>
      </c>
      <c r="AO30" s="32">
        <f>H30*0</f>
        <v>0</v>
      </c>
      <c r="AP30" s="32">
        <f>H30*(1-0)</f>
        <v>0</v>
      </c>
      <c r="AQ30" s="27" t="s">
        <v>7</v>
      </c>
      <c r="AV30" s="32">
        <f>AW30+AX30</f>
        <v>0</v>
      </c>
      <c r="AW30" s="32">
        <f>G30*AO30</f>
        <v>0</v>
      </c>
      <c r="AX30" s="32">
        <f>G30*AP30</f>
        <v>0</v>
      </c>
      <c r="AY30" s="33" t="s">
        <v>860</v>
      </c>
      <c r="AZ30" s="33" t="s">
        <v>857</v>
      </c>
      <c r="BA30" s="28" t="s">
        <v>895</v>
      </c>
      <c r="BC30" s="32">
        <f>AW30+AX30</f>
        <v>0</v>
      </c>
      <c r="BD30" s="32">
        <f>H30/(100-BE30)*100</f>
        <v>0</v>
      </c>
      <c r="BE30" s="32">
        <v>0</v>
      </c>
      <c r="BF30" s="32">
        <f>30</f>
        <v>30</v>
      </c>
      <c r="BH30" s="15">
        <f>G30*AO30</f>
        <v>0</v>
      </c>
      <c r="BI30" s="15">
        <f>G30*AP30</f>
        <v>0</v>
      </c>
      <c r="BJ30" s="15">
        <f>G30*H30</f>
        <v>0</v>
      </c>
    </row>
    <row r="31" spans="1:62" x14ac:dyDescent="0.2">
      <c r="C31" s="58" t="s">
        <v>367</v>
      </c>
      <c r="D31" s="59"/>
      <c r="E31" s="59"/>
      <c r="G31" s="16">
        <v>5.46</v>
      </c>
    </row>
    <row r="32" spans="1:62" x14ac:dyDescent="0.2">
      <c r="A32" s="5"/>
      <c r="B32" s="13" t="s">
        <v>8</v>
      </c>
      <c r="C32" s="66" t="s">
        <v>368</v>
      </c>
      <c r="D32" s="67"/>
      <c r="E32" s="67"/>
      <c r="F32" s="5" t="s">
        <v>6</v>
      </c>
      <c r="G32" s="5" t="s">
        <v>6</v>
      </c>
      <c r="H32" s="5" t="s">
        <v>6</v>
      </c>
      <c r="I32" s="35">
        <f>SUM(I33:I33)</f>
        <v>0</v>
      </c>
      <c r="J32" s="35">
        <f>SUM(J33:J33)</f>
        <v>0</v>
      </c>
      <c r="K32" s="35">
        <f>SUM(K33:K33)</f>
        <v>0</v>
      </c>
      <c r="L32" s="28"/>
      <c r="AI32" s="28"/>
      <c r="AS32" s="35">
        <f>SUM(AJ33:AJ33)</f>
        <v>0</v>
      </c>
      <c r="AT32" s="35">
        <f>SUM(AK33:AK33)</f>
        <v>0</v>
      </c>
      <c r="AU32" s="35">
        <f>SUM(AL33:AL33)</f>
        <v>0</v>
      </c>
    </row>
    <row r="33" spans="1:62" x14ac:dyDescent="0.2">
      <c r="A33" s="4" t="s">
        <v>14</v>
      </c>
      <c r="B33" s="4" t="s">
        <v>177</v>
      </c>
      <c r="C33" s="56" t="s">
        <v>369</v>
      </c>
      <c r="D33" s="57"/>
      <c r="E33" s="57"/>
      <c r="F33" s="4" t="s">
        <v>825</v>
      </c>
      <c r="G33" s="15">
        <v>1</v>
      </c>
      <c r="H33" s="15">
        <v>0</v>
      </c>
      <c r="I33" s="15">
        <f>G33*AO33</f>
        <v>0</v>
      </c>
      <c r="J33" s="15">
        <f>G33*AP33</f>
        <v>0</v>
      </c>
      <c r="K33" s="15">
        <f>G33*H33</f>
        <v>0</v>
      </c>
      <c r="L33" s="27"/>
      <c r="Z33" s="32">
        <f>IF(AQ33="5",BJ33,0)</f>
        <v>0</v>
      </c>
      <c r="AB33" s="32">
        <f>IF(AQ33="1",BH33,0)</f>
        <v>0</v>
      </c>
      <c r="AC33" s="32">
        <f>IF(AQ33="1",BI33,0)</f>
        <v>0</v>
      </c>
      <c r="AD33" s="32">
        <f>IF(AQ33="7",BH33,0)</f>
        <v>0</v>
      </c>
      <c r="AE33" s="32">
        <f>IF(AQ33="7",BI33,0)</f>
        <v>0</v>
      </c>
      <c r="AF33" s="32">
        <f>IF(AQ33="2",BH33,0)</f>
        <v>0</v>
      </c>
      <c r="AG33" s="32">
        <f>IF(AQ33="2",BI33,0)</f>
        <v>0</v>
      </c>
      <c r="AH33" s="32">
        <f>IF(AQ33="0",BJ33,0)</f>
        <v>0</v>
      </c>
      <c r="AI33" s="28"/>
      <c r="AJ33" s="15">
        <f>IF(AN33=0,K33,0)</f>
        <v>0</v>
      </c>
      <c r="AK33" s="15">
        <f>IF(AN33=15,K33,0)</f>
        <v>0</v>
      </c>
      <c r="AL33" s="15">
        <f>IF(AN33=21,K33,0)</f>
        <v>0</v>
      </c>
      <c r="AN33" s="32">
        <v>21</v>
      </c>
      <c r="AO33" s="32">
        <f>H33*0</f>
        <v>0</v>
      </c>
      <c r="AP33" s="32">
        <f>H33*(1-0)</f>
        <v>0</v>
      </c>
      <c r="AQ33" s="27" t="s">
        <v>7</v>
      </c>
      <c r="AV33" s="32">
        <f>AW33+AX33</f>
        <v>0</v>
      </c>
      <c r="AW33" s="32">
        <f>G33*AO33</f>
        <v>0</v>
      </c>
      <c r="AX33" s="32">
        <f>G33*AP33</f>
        <v>0</v>
      </c>
      <c r="AY33" s="33" t="s">
        <v>861</v>
      </c>
      <c r="AZ33" s="33" t="s">
        <v>861</v>
      </c>
      <c r="BA33" s="28" t="s">
        <v>895</v>
      </c>
      <c r="BC33" s="32">
        <f>AW33+AX33</f>
        <v>0</v>
      </c>
      <c r="BD33" s="32">
        <f>H33/(100-BE33)*100</f>
        <v>0</v>
      </c>
      <c r="BE33" s="32">
        <v>0</v>
      </c>
      <c r="BF33" s="32">
        <f>33</f>
        <v>33</v>
      </c>
      <c r="BH33" s="15">
        <f>G33*AO33</f>
        <v>0</v>
      </c>
      <c r="BI33" s="15">
        <f>G33*AP33</f>
        <v>0</v>
      </c>
      <c r="BJ33" s="15">
        <f>G33*H33</f>
        <v>0</v>
      </c>
    </row>
    <row r="34" spans="1:62" x14ac:dyDescent="0.2">
      <c r="C34" s="58" t="s">
        <v>370</v>
      </c>
      <c r="D34" s="59"/>
      <c r="E34" s="59"/>
      <c r="G34" s="16">
        <v>1</v>
      </c>
    </row>
    <row r="35" spans="1:62" x14ac:dyDescent="0.2">
      <c r="A35" s="5"/>
      <c r="B35" s="54" t="s">
        <v>27</v>
      </c>
      <c r="C35" s="66" t="s">
        <v>954</v>
      </c>
      <c r="D35" s="67"/>
      <c r="E35" s="67"/>
      <c r="F35" s="5" t="s">
        <v>6</v>
      </c>
      <c r="G35" s="5" t="s">
        <v>6</v>
      </c>
      <c r="H35" s="5" t="s">
        <v>6</v>
      </c>
      <c r="I35" s="35">
        <f>SUM(I36:I36)</f>
        <v>0</v>
      </c>
      <c r="J35" s="35">
        <f>SUM(J36:J36)</f>
        <v>0</v>
      </c>
      <c r="K35" s="35">
        <f>SUM(K36:K36)</f>
        <v>0</v>
      </c>
      <c r="L35" s="28"/>
      <c r="AI35" s="28"/>
      <c r="AS35" s="35">
        <f>SUM(AJ36:AJ36)</f>
        <v>0</v>
      </c>
      <c r="AT35" s="35">
        <f>SUM(AK36:AK36)</f>
        <v>0</v>
      </c>
      <c r="AU35" s="35">
        <f>SUM(AL36:AL36)</f>
        <v>0</v>
      </c>
    </row>
    <row r="36" spans="1:62" x14ac:dyDescent="0.2">
      <c r="A36" s="55" t="s">
        <v>956</v>
      </c>
      <c r="B36" s="55"/>
      <c r="C36" s="56" t="s">
        <v>955</v>
      </c>
      <c r="D36" s="57"/>
      <c r="E36" s="57"/>
      <c r="F36" s="55" t="s">
        <v>825</v>
      </c>
      <c r="G36" s="15">
        <v>1</v>
      </c>
      <c r="H36" s="15">
        <v>0</v>
      </c>
      <c r="I36" s="15">
        <f>G36*AO36</f>
        <v>0</v>
      </c>
      <c r="J36" s="15">
        <f>G36*AP36</f>
        <v>0</v>
      </c>
      <c r="K36" s="15">
        <f>G36*H36</f>
        <v>0</v>
      </c>
      <c r="L36" s="27"/>
      <c r="Z36" s="32">
        <f>IF(AQ36="5",BJ36,0)</f>
        <v>0</v>
      </c>
      <c r="AB36" s="32">
        <f>IF(AQ36="1",BH36,0)</f>
        <v>0</v>
      </c>
      <c r="AC36" s="32">
        <f>IF(AQ36="1",BI36,0)</f>
        <v>0</v>
      </c>
      <c r="AD36" s="32">
        <f>IF(AQ36="7",BH36,0)</f>
        <v>0</v>
      </c>
      <c r="AE36" s="32">
        <f>IF(AQ36="7",BI36,0)</f>
        <v>0</v>
      </c>
      <c r="AF36" s="32">
        <f>IF(AQ36="2",BH36,0)</f>
        <v>0</v>
      </c>
      <c r="AG36" s="32">
        <f>IF(AQ36="2",BI36,0)</f>
        <v>0</v>
      </c>
      <c r="AH36" s="32">
        <f>IF(AQ36="0",BJ36,0)</f>
        <v>0</v>
      </c>
      <c r="AI36" s="28"/>
      <c r="AJ36" s="15">
        <f>IF(AN36=0,K36,0)</f>
        <v>0</v>
      </c>
      <c r="AK36" s="15">
        <f>IF(AN36=15,K36,0)</f>
        <v>0</v>
      </c>
      <c r="AL36" s="15">
        <f>IF(AN36=21,K36,0)</f>
        <v>0</v>
      </c>
      <c r="AN36" s="32">
        <v>21</v>
      </c>
      <c r="AO36" s="32">
        <f>H36*0</f>
        <v>0</v>
      </c>
      <c r="AP36" s="32">
        <f>H36*(1-0)</f>
        <v>0</v>
      </c>
      <c r="AQ36" s="27" t="s">
        <v>7</v>
      </c>
      <c r="AV36" s="32">
        <f>AW36+AX36</f>
        <v>0</v>
      </c>
      <c r="AW36" s="32">
        <f>G36*AO36</f>
        <v>0</v>
      </c>
      <c r="AX36" s="32">
        <f>G36*AP36</f>
        <v>0</v>
      </c>
      <c r="AY36" s="33" t="s">
        <v>861</v>
      </c>
      <c r="AZ36" s="33" t="s">
        <v>861</v>
      </c>
      <c r="BA36" s="28" t="s">
        <v>895</v>
      </c>
      <c r="BC36" s="32">
        <f>AW36+AX36</f>
        <v>0</v>
      </c>
      <c r="BD36" s="32">
        <f>H36/(100-BE36)*100</f>
        <v>0</v>
      </c>
      <c r="BE36" s="32">
        <v>0</v>
      </c>
      <c r="BF36" s="32">
        <f>33</f>
        <v>33</v>
      </c>
      <c r="BH36" s="15">
        <f>G36*AO36</f>
        <v>0</v>
      </c>
      <c r="BI36" s="15">
        <f>G36*AP36</f>
        <v>0</v>
      </c>
      <c r="BJ36" s="15">
        <f>G36*H36</f>
        <v>0</v>
      </c>
    </row>
    <row r="37" spans="1:62" x14ac:dyDescent="0.2">
      <c r="A37" s="5"/>
      <c r="B37" s="13" t="s">
        <v>33</v>
      </c>
      <c r="C37" s="66" t="s">
        <v>371</v>
      </c>
      <c r="D37" s="67"/>
      <c r="E37" s="67"/>
      <c r="F37" s="5" t="s">
        <v>6</v>
      </c>
      <c r="G37" s="5" t="s">
        <v>6</v>
      </c>
      <c r="H37" s="5" t="s">
        <v>6</v>
      </c>
      <c r="I37" s="35">
        <f>SUM(I38:I38)</f>
        <v>0</v>
      </c>
      <c r="J37" s="35">
        <f>SUM(J38:J38)</f>
        <v>0</v>
      </c>
      <c r="K37" s="35">
        <f>SUM(K38:K38)</f>
        <v>0</v>
      </c>
      <c r="L37" s="28"/>
      <c r="AI37" s="28"/>
      <c r="AS37" s="35">
        <f>SUM(AJ38:AJ38)</f>
        <v>0</v>
      </c>
      <c r="AT37" s="35">
        <f>SUM(AK38:AK38)</f>
        <v>0</v>
      </c>
      <c r="AU37" s="35">
        <f>SUM(AL38:AL38)</f>
        <v>0</v>
      </c>
    </row>
    <row r="38" spans="1:62" x14ac:dyDescent="0.2">
      <c r="A38" s="4" t="s">
        <v>15</v>
      </c>
      <c r="B38" s="4" t="s">
        <v>178</v>
      </c>
      <c r="C38" s="56" t="s">
        <v>372</v>
      </c>
      <c r="D38" s="57"/>
      <c r="E38" s="57"/>
      <c r="F38" s="4" t="s">
        <v>824</v>
      </c>
      <c r="G38" s="15">
        <v>9.9635999999999996</v>
      </c>
      <c r="H38" s="15">
        <v>0</v>
      </c>
      <c r="I38" s="15">
        <f>G38*AO38</f>
        <v>0</v>
      </c>
      <c r="J38" s="15">
        <f>G38*AP38</f>
        <v>0</v>
      </c>
      <c r="K38" s="15">
        <f>G38*H38</f>
        <v>0</v>
      </c>
      <c r="L38" s="27" t="s">
        <v>846</v>
      </c>
      <c r="Z38" s="32">
        <f>IF(AQ38="5",BJ38,0)</f>
        <v>0</v>
      </c>
      <c r="AB38" s="32">
        <f>IF(AQ38="1",BH38,0)</f>
        <v>0</v>
      </c>
      <c r="AC38" s="32">
        <f>IF(AQ38="1",BI38,0)</f>
        <v>0</v>
      </c>
      <c r="AD38" s="32">
        <f>IF(AQ38="7",BH38,0)</f>
        <v>0</v>
      </c>
      <c r="AE38" s="32">
        <f>IF(AQ38="7",BI38,0)</f>
        <v>0</v>
      </c>
      <c r="AF38" s="32">
        <f>IF(AQ38="2",BH38,0)</f>
        <v>0</v>
      </c>
      <c r="AG38" s="32">
        <f>IF(AQ38="2",BI38,0)</f>
        <v>0</v>
      </c>
      <c r="AH38" s="32">
        <f>IF(AQ38="0",BJ38,0)</f>
        <v>0</v>
      </c>
      <c r="AI38" s="28"/>
      <c r="AJ38" s="15">
        <f>IF(AN38=0,K38,0)</f>
        <v>0</v>
      </c>
      <c r="AK38" s="15">
        <f>IF(AN38=15,K38,0)</f>
        <v>0</v>
      </c>
      <c r="AL38" s="15">
        <f>IF(AN38=21,K38,0)</f>
        <v>0</v>
      </c>
      <c r="AN38" s="32">
        <v>21</v>
      </c>
      <c r="AO38" s="32">
        <f>H38*0.667171219044034</f>
        <v>0</v>
      </c>
      <c r="AP38" s="32">
        <f>H38*(1-0.667171219044034)</f>
        <v>0</v>
      </c>
      <c r="AQ38" s="27" t="s">
        <v>7</v>
      </c>
      <c r="AV38" s="32">
        <f>AW38+AX38</f>
        <v>0</v>
      </c>
      <c r="AW38" s="32">
        <f>G38*AO38</f>
        <v>0</v>
      </c>
      <c r="AX38" s="32">
        <f>G38*AP38</f>
        <v>0</v>
      </c>
      <c r="AY38" s="33" t="s">
        <v>862</v>
      </c>
      <c r="AZ38" s="33" t="s">
        <v>861</v>
      </c>
      <c r="BA38" s="28" t="s">
        <v>895</v>
      </c>
      <c r="BC38" s="32">
        <f>AW38+AX38</f>
        <v>0</v>
      </c>
      <c r="BD38" s="32">
        <f>H38/(100-BE38)*100</f>
        <v>0</v>
      </c>
      <c r="BE38" s="32">
        <v>0</v>
      </c>
      <c r="BF38" s="32">
        <f>36</f>
        <v>36</v>
      </c>
      <c r="BH38" s="15">
        <f>G38*AO38</f>
        <v>0</v>
      </c>
      <c r="BI38" s="15">
        <f>G38*AP38</f>
        <v>0</v>
      </c>
      <c r="BJ38" s="15">
        <f>G38*H38</f>
        <v>0</v>
      </c>
    </row>
    <row r="39" spans="1:62" x14ac:dyDescent="0.2">
      <c r="C39" s="58" t="s">
        <v>373</v>
      </c>
      <c r="D39" s="59"/>
      <c r="E39" s="59"/>
      <c r="G39" s="16">
        <v>9.9635999999999996</v>
      </c>
    </row>
    <row r="40" spans="1:62" x14ac:dyDescent="0.2">
      <c r="A40" s="5"/>
      <c r="B40" s="13" t="s">
        <v>40</v>
      </c>
      <c r="C40" s="66" t="s">
        <v>374</v>
      </c>
      <c r="D40" s="67"/>
      <c r="E40" s="67"/>
      <c r="F40" s="5" t="s">
        <v>6</v>
      </c>
      <c r="G40" s="5" t="s">
        <v>6</v>
      </c>
      <c r="H40" s="5" t="s">
        <v>6</v>
      </c>
      <c r="I40" s="35">
        <f>SUM(I41:I52)</f>
        <v>0</v>
      </c>
      <c r="J40" s="35">
        <f>SUM(J41:J52)</f>
        <v>0</v>
      </c>
      <c r="K40" s="35">
        <f>SUM(K41:K52)</f>
        <v>0</v>
      </c>
      <c r="L40" s="28"/>
      <c r="AI40" s="28"/>
      <c r="AS40" s="35">
        <f>SUM(AJ41:AJ52)</f>
        <v>0</v>
      </c>
      <c r="AT40" s="35">
        <f>SUM(AK41:AK52)</f>
        <v>0</v>
      </c>
      <c r="AU40" s="35">
        <f>SUM(AL41:AL52)</f>
        <v>0</v>
      </c>
    </row>
    <row r="41" spans="1:62" x14ac:dyDescent="0.2">
      <c r="A41" s="4" t="s">
        <v>16</v>
      </c>
      <c r="B41" s="4" t="s">
        <v>179</v>
      </c>
      <c r="C41" s="56" t="s">
        <v>375</v>
      </c>
      <c r="D41" s="57"/>
      <c r="E41" s="57"/>
      <c r="F41" s="4" t="s">
        <v>823</v>
      </c>
      <c r="G41" s="15">
        <v>143.12</v>
      </c>
      <c r="H41" s="15">
        <v>0</v>
      </c>
      <c r="I41" s="15">
        <f>G41*AO41</f>
        <v>0</v>
      </c>
      <c r="J41" s="15">
        <f>G41*AP41</f>
        <v>0</v>
      </c>
      <c r="K41" s="15">
        <f>G41*H41</f>
        <v>0</v>
      </c>
      <c r="L41" s="27" t="s">
        <v>846</v>
      </c>
      <c r="Z41" s="32">
        <f>IF(AQ41="5",BJ41,0)</f>
        <v>0</v>
      </c>
      <c r="AB41" s="32">
        <f>IF(AQ41="1",BH41,0)</f>
        <v>0</v>
      </c>
      <c r="AC41" s="32">
        <f>IF(AQ41="1",BI41,0)</f>
        <v>0</v>
      </c>
      <c r="AD41" s="32">
        <f>IF(AQ41="7",BH41,0)</f>
        <v>0</v>
      </c>
      <c r="AE41" s="32">
        <f>IF(AQ41="7",BI41,0)</f>
        <v>0</v>
      </c>
      <c r="AF41" s="32">
        <f>IF(AQ41="2",BH41,0)</f>
        <v>0</v>
      </c>
      <c r="AG41" s="32">
        <f>IF(AQ41="2",BI41,0)</f>
        <v>0</v>
      </c>
      <c r="AH41" s="32">
        <f>IF(AQ41="0",BJ41,0)</f>
        <v>0</v>
      </c>
      <c r="AI41" s="28"/>
      <c r="AJ41" s="15">
        <f>IF(AN41=0,K41,0)</f>
        <v>0</v>
      </c>
      <c r="AK41" s="15">
        <f>IF(AN41=15,K41,0)</f>
        <v>0</v>
      </c>
      <c r="AL41" s="15">
        <f>IF(AN41=21,K41,0)</f>
        <v>0</v>
      </c>
      <c r="AN41" s="32">
        <v>21</v>
      </c>
      <c r="AO41" s="32">
        <f>H41*0.315389276994624</f>
        <v>0</v>
      </c>
      <c r="AP41" s="32">
        <f>H41*(1-0.315389276994624)</f>
        <v>0</v>
      </c>
      <c r="AQ41" s="27" t="s">
        <v>7</v>
      </c>
      <c r="AV41" s="32">
        <f>AW41+AX41</f>
        <v>0</v>
      </c>
      <c r="AW41" s="32">
        <f>G41*AO41</f>
        <v>0</v>
      </c>
      <c r="AX41" s="32">
        <f>G41*AP41</f>
        <v>0</v>
      </c>
      <c r="AY41" s="33" t="s">
        <v>863</v>
      </c>
      <c r="AZ41" s="33" t="s">
        <v>887</v>
      </c>
      <c r="BA41" s="28" t="s">
        <v>895</v>
      </c>
      <c r="BC41" s="32">
        <f>AW41+AX41</f>
        <v>0</v>
      </c>
      <c r="BD41" s="32">
        <f>H41/(100-BE41)*100</f>
        <v>0</v>
      </c>
      <c r="BE41" s="32">
        <v>0</v>
      </c>
      <c r="BF41" s="32">
        <f>39</f>
        <v>39</v>
      </c>
      <c r="BH41" s="15">
        <f>G41*AO41</f>
        <v>0</v>
      </c>
      <c r="BI41" s="15">
        <f>G41*AP41</f>
        <v>0</v>
      </c>
      <c r="BJ41" s="15">
        <f>G41*H41</f>
        <v>0</v>
      </c>
    </row>
    <row r="42" spans="1:62" x14ac:dyDescent="0.2">
      <c r="C42" s="58" t="s">
        <v>376</v>
      </c>
      <c r="D42" s="59"/>
      <c r="E42" s="59"/>
      <c r="G42" s="16">
        <v>22.7</v>
      </c>
    </row>
    <row r="43" spans="1:62" x14ac:dyDescent="0.2">
      <c r="C43" s="58" t="s">
        <v>377</v>
      </c>
      <c r="D43" s="59"/>
      <c r="E43" s="59"/>
      <c r="G43" s="16">
        <v>19.5</v>
      </c>
    </row>
    <row r="44" spans="1:62" x14ac:dyDescent="0.2">
      <c r="C44" s="58" t="s">
        <v>378</v>
      </c>
      <c r="D44" s="59"/>
      <c r="E44" s="59"/>
      <c r="G44" s="16">
        <v>23.434999999999999</v>
      </c>
    </row>
    <row r="45" spans="1:62" x14ac:dyDescent="0.2">
      <c r="C45" s="58" t="s">
        <v>379</v>
      </c>
      <c r="D45" s="59"/>
      <c r="E45" s="59"/>
      <c r="G45" s="16">
        <v>12.324999999999999</v>
      </c>
    </row>
    <row r="46" spans="1:62" x14ac:dyDescent="0.2">
      <c r="C46" s="58" t="s">
        <v>380</v>
      </c>
      <c r="D46" s="59"/>
      <c r="E46" s="59"/>
      <c r="G46" s="16">
        <v>31.06</v>
      </c>
    </row>
    <row r="47" spans="1:62" x14ac:dyDescent="0.2">
      <c r="C47" s="58" t="s">
        <v>381</v>
      </c>
      <c r="D47" s="59"/>
      <c r="E47" s="59"/>
      <c r="G47" s="16">
        <v>34.1</v>
      </c>
    </row>
    <row r="48" spans="1:62" x14ac:dyDescent="0.2">
      <c r="A48" s="4" t="s">
        <v>17</v>
      </c>
      <c r="B48" s="4" t="s">
        <v>180</v>
      </c>
      <c r="C48" s="56" t="s">
        <v>943</v>
      </c>
      <c r="D48" s="57"/>
      <c r="E48" s="57"/>
      <c r="F48" s="4" t="s">
        <v>826</v>
      </c>
      <c r="G48" s="15">
        <v>221.35</v>
      </c>
      <c r="H48" s="15">
        <v>0</v>
      </c>
      <c r="I48" s="15">
        <f>G48*AO48</f>
        <v>0</v>
      </c>
      <c r="J48" s="15">
        <f>G48*AP48</f>
        <v>0</v>
      </c>
      <c r="K48" s="15">
        <f>G48*H48</f>
        <v>0</v>
      </c>
      <c r="L48" s="27" t="s">
        <v>846</v>
      </c>
      <c r="Z48" s="32">
        <f>IF(AQ48="5",BJ48,0)</f>
        <v>0</v>
      </c>
      <c r="AB48" s="32">
        <f>IF(AQ48="1",BH48,0)</f>
        <v>0</v>
      </c>
      <c r="AC48" s="32">
        <f>IF(AQ48="1",BI48,0)</f>
        <v>0</v>
      </c>
      <c r="AD48" s="32">
        <f>IF(AQ48="7",BH48,0)</f>
        <v>0</v>
      </c>
      <c r="AE48" s="32">
        <f>IF(AQ48="7",BI48,0)</f>
        <v>0</v>
      </c>
      <c r="AF48" s="32">
        <f>IF(AQ48="2",BH48,0)</f>
        <v>0</v>
      </c>
      <c r="AG48" s="32">
        <f>IF(AQ48="2",BI48,0)</f>
        <v>0</v>
      </c>
      <c r="AH48" s="32">
        <f>IF(AQ48="0",BJ48,0)</f>
        <v>0</v>
      </c>
      <c r="AI48" s="28"/>
      <c r="AJ48" s="15">
        <f>IF(AN48=0,K48,0)</f>
        <v>0</v>
      </c>
      <c r="AK48" s="15">
        <f>IF(AN48=15,K48,0)</f>
        <v>0</v>
      </c>
      <c r="AL48" s="15">
        <f>IF(AN48=21,K48,0)</f>
        <v>0</v>
      </c>
      <c r="AN48" s="32">
        <v>21</v>
      </c>
      <c r="AO48" s="32">
        <f>H48*0.338008695652174</f>
        <v>0</v>
      </c>
      <c r="AP48" s="32">
        <f>H48*(1-0.338008695652174)</f>
        <v>0</v>
      </c>
      <c r="AQ48" s="27" t="s">
        <v>7</v>
      </c>
      <c r="AV48" s="32">
        <f>AW48+AX48</f>
        <v>0</v>
      </c>
      <c r="AW48" s="32">
        <f>G48*AO48</f>
        <v>0</v>
      </c>
      <c r="AX48" s="32">
        <f>G48*AP48</f>
        <v>0</v>
      </c>
      <c r="AY48" s="33" t="s">
        <v>863</v>
      </c>
      <c r="AZ48" s="33" t="s">
        <v>887</v>
      </c>
      <c r="BA48" s="28" t="s">
        <v>895</v>
      </c>
      <c r="BC48" s="32">
        <f>AW48+AX48</f>
        <v>0</v>
      </c>
      <c r="BD48" s="32">
        <f>H48/(100-BE48)*100</f>
        <v>0</v>
      </c>
      <c r="BE48" s="32">
        <v>0</v>
      </c>
      <c r="BF48" s="32">
        <f>46</f>
        <v>46</v>
      </c>
      <c r="BH48" s="15">
        <f>G48*AO48</f>
        <v>0</v>
      </c>
      <c r="BI48" s="15">
        <f>G48*AP48</f>
        <v>0</v>
      </c>
      <c r="BJ48" s="15">
        <f>G48*H48</f>
        <v>0</v>
      </c>
    </row>
    <row r="49" spans="1:62" x14ac:dyDescent="0.2">
      <c r="C49" s="58" t="s">
        <v>382</v>
      </c>
      <c r="D49" s="59"/>
      <c r="E49" s="59"/>
      <c r="G49" s="16">
        <v>56.4</v>
      </c>
    </row>
    <row r="50" spans="1:62" x14ac:dyDescent="0.2">
      <c r="C50" s="58" t="s">
        <v>383</v>
      </c>
      <c r="D50" s="59"/>
      <c r="E50" s="59"/>
      <c r="G50" s="16">
        <v>86.6</v>
      </c>
    </row>
    <row r="51" spans="1:62" x14ac:dyDescent="0.2">
      <c r="C51" s="58" t="s">
        <v>384</v>
      </c>
      <c r="D51" s="59"/>
      <c r="E51" s="59"/>
      <c r="G51" s="16">
        <v>78.349999999999994</v>
      </c>
    </row>
    <row r="52" spans="1:62" x14ac:dyDescent="0.2">
      <c r="A52" s="4" t="s">
        <v>18</v>
      </c>
      <c r="B52" s="4" t="s">
        <v>181</v>
      </c>
      <c r="C52" s="56" t="s">
        <v>944</v>
      </c>
      <c r="D52" s="57"/>
      <c r="E52" s="57"/>
      <c r="F52" s="4" t="s">
        <v>826</v>
      </c>
      <c r="G52" s="15">
        <v>6.6</v>
      </c>
      <c r="H52" s="15">
        <v>0</v>
      </c>
      <c r="I52" s="15">
        <f>G52*AO52</f>
        <v>0</v>
      </c>
      <c r="J52" s="15">
        <f>G52*AP52</f>
        <v>0</v>
      </c>
      <c r="K52" s="15">
        <f>G52*H52</f>
        <v>0</v>
      </c>
      <c r="L52" s="27" t="s">
        <v>846</v>
      </c>
      <c r="Z52" s="32">
        <f>IF(AQ52="5",BJ52,0)</f>
        <v>0</v>
      </c>
      <c r="AB52" s="32">
        <f>IF(AQ52="1",BH52,0)</f>
        <v>0</v>
      </c>
      <c r="AC52" s="32">
        <f>IF(AQ52="1",BI52,0)</f>
        <v>0</v>
      </c>
      <c r="AD52" s="32">
        <f>IF(AQ52="7",BH52,0)</f>
        <v>0</v>
      </c>
      <c r="AE52" s="32">
        <f>IF(AQ52="7",BI52,0)</f>
        <v>0</v>
      </c>
      <c r="AF52" s="32">
        <f>IF(AQ52="2",BH52,0)</f>
        <v>0</v>
      </c>
      <c r="AG52" s="32">
        <f>IF(AQ52="2",BI52,0)</f>
        <v>0</v>
      </c>
      <c r="AH52" s="32">
        <f>IF(AQ52="0",BJ52,0)</f>
        <v>0</v>
      </c>
      <c r="AI52" s="28"/>
      <c r="AJ52" s="15">
        <f>IF(AN52=0,K52,0)</f>
        <v>0</v>
      </c>
      <c r="AK52" s="15">
        <f>IF(AN52=15,K52,0)</f>
        <v>0</v>
      </c>
      <c r="AL52" s="15">
        <f>IF(AN52=21,K52,0)</f>
        <v>0</v>
      </c>
      <c r="AN52" s="32">
        <v>21</v>
      </c>
      <c r="AO52" s="32">
        <f>H52*0.371941687344913</f>
        <v>0</v>
      </c>
      <c r="AP52" s="32">
        <f>H52*(1-0.371941687344913)</f>
        <v>0</v>
      </c>
      <c r="AQ52" s="27" t="s">
        <v>7</v>
      </c>
      <c r="AV52" s="32">
        <f>AW52+AX52</f>
        <v>0</v>
      </c>
      <c r="AW52" s="32">
        <f>G52*AO52</f>
        <v>0</v>
      </c>
      <c r="AX52" s="32">
        <f>G52*AP52</f>
        <v>0</v>
      </c>
      <c r="AY52" s="33" t="s">
        <v>863</v>
      </c>
      <c r="AZ52" s="33" t="s">
        <v>887</v>
      </c>
      <c r="BA52" s="28" t="s">
        <v>895</v>
      </c>
      <c r="BC52" s="32">
        <f>AW52+AX52</f>
        <v>0</v>
      </c>
      <c r="BD52" s="32">
        <f>H52/(100-BE52)*100</f>
        <v>0</v>
      </c>
      <c r="BE52" s="32">
        <v>0</v>
      </c>
      <c r="BF52" s="32">
        <f>50</f>
        <v>50</v>
      </c>
      <c r="BH52" s="15">
        <f>G52*AO52</f>
        <v>0</v>
      </c>
      <c r="BI52" s="15">
        <f>G52*AP52</f>
        <v>0</v>
      </c>
      <c r="BJ52" s="15">
        <f>G52*H52</f>
        <v>0</v>
      </c>
    </row>
    <row r="53" spans="1:62" x14ac:dyDescent="0.2">
      <c r="C53" s="58" t="s">
        <v>385</v>
      </c>
      <c r="D53" s="59"/>
      <c r="E53" s="59"/>
      <c r="G53" s="16">
        <v>6.6</v>
      </c>
    </row>
    <row r="54" spans="1:62" x14ac:dyDescent="0.2">
      <c r="A54" s="5"/>
      <c r="B54" s="13" t="s">
        <v>65</v>
      </c>
      <c r="C54" s="66" t="s">
        <v>386</v>
      </c>
      <c r="D54" s="67"/>
      <c r="E54" s="67"/>
      <c r="F54" s="5" t="s">
        <v>6</v>
      </c>
      <c r="G54" s="5" t="s">
        <v>6</v>
      </c>
      <c r="H54" s="5" t="s">
        <v>6</v>
      </c>
      <c r="I54" s="35">
        <f>SUM(I55:I55)</f>
        <v>0</v>
      </c>
      <c r="J54" s="35">
        <f>SUM(J55:J55)</f>
        <v>0</v>
      </c>
      <c r="K54" s="35">
        <f>SUM(K55:K55)</f>
        <v>0</v>
      </c>
      <c r="L54" s="28"/>
      <c r="AI54" s="28"/>
      <c r="AS54" s="35">
        <f>SUM(AJ55:AJ55)</f>
        <v>0</v>
      </c>
      <c r="AT54" s="35">
        <f>SUM(AK55:AK55)</f>
        <v>0</v>
      </c>
      <c r="AU54" s="35">
        <f>SUM(AL55:AL55)</f>
        <v>0</v>
      </c>
    </row>
    <row r="55" spans="1:62" x14ac:dyDescent="0.2">
      <c r="A55" s="4" t="s">
        <v>19</v>
      </c>
      <c r="B55" s="4" t="s">
        <v>182</v>
      </c>
      <c r="C55" s="56" t="s">
        <v>387</v>
      </c>
      <c r="D55" s="57"/>
      <c r="E55" s="57"/>
      <c r="F55" s="4" t="s">
        <v>823</v>
      </c>
      <c r="G55" s="15">
        <v>61.8</v>
      </c>
      <c r="H55" s="15">
        <v>0</v>
      </c>
      <c r="I55" s="15">
        <f>G55*AO55</f>
        <v>0</v>
      </c>
      <c r="J55" s="15">
        <f>G55*AP55</f>
        <v>0</v>
      </c>
      <c r="K55" s="15">
        <f>G55*H55</f>
        <v>0</v>
      </c>
      <c r="L55" s="27" t="s">
        <v>846</v>
      </c>
      <c r="Z55" s="32">
        <f>IF(AQ55="5",BJ55,0)</f>
        <v>0</v>
      </c>
      <c r="AB55" s="32">
        <f>IF(AQ55="1",BH55,0)</f>
        <v>0</v>
      </c>
      <c r="AC55" s="32">
        <f>IF(AQ55="1",BI55,0)</f>
        <v>0</v>
      </c>
      <c r="AD55" s="32">
        <f>IF(AQ55="7",BH55,0)</f>
        <v>0</v>
      </c>
      <c r="AE55" s="32">
        <f>IF(AQ55="7",BI55,0)</f>
        <v>0</v>
      </c>
      <c r="AF55" s="32">
        <f>IF(AQ55="2",BH55,0)</f>
        <v>0</v>
      </c>
      <c r="AG55" s="32">
        <f>IF(AQ55="2",BI55,0)</f>
        <v>0</v>
      </c>
      <c r="AH55" s="32">
        <f>IF(AQ55="0",BJ55,0)</f>
        <v>0</v>
      </c>
      <c r="AI55" s="28"/>
      <c r="AJ55" s="15">
        <f>IF(AN55=0,K55,0)</f>
        <v>0</v>
      </c>
      <c r="AK55" s="15">
        <f>IF(AN55=15,K55,0)</f>
        <v>0</v>
      </c>
      <c r="AL55" s="15">
        <f>IF(AN55=21,K55,0)</f>
        <v>0</v>
      </c>
      <c r="AN55" s="32">
        <v>21</v>
      </c>
      <c r="AO55" s="32">
        <f>H55*0.568727152485731</f>
        <v>0</v>
      </c>
      <c r="AP55" s="32">
        <f>H55*(1-0.568727152485731)</f>
        <v>0</v>
      </c>
      <c r="AQ55" s="27" t="s">
        <v>7</v>
      </c>
      <c r="AV55" s="32">
        <f>AW55+AX55</f>
        <v>0</v>
      </c>
      <c r="AW55" s="32">
        <f>G55*AO55</f>
        <v>0</v>
      </c>
      <c r="AX55" s="32">
        <f>G55*AP55</f>
        <v>0</v>
      </c>
      <c r="AY55" s="33" t="s">
        <v>864</v>
      </c>
      <c r="AZ55" s="33" t="s">
        <v>888</v>
      </c>
      <c r="BA55" s="28" t="s">
        <v>895</v>
      </c>
      <c r="BC55" s="32">
        <f>AW55+AX55</f>
        <v>0</v>
      </c>
      <c r="BD55" s="32">
        <f>H55/(100-BE55)*100</f>
        <v>0</v>
      </c>
      <c r="BE55" s="32">
        <v>0</v>
      </c>
      <c r="BF55" s="32">
        <f>53</f>
        <v>53</v>
      </c>
      <c r="BH55" s="15">
        <f>G55*AO55</f>
        <v>0</v>
      </c>
      <c r="BI55" s="15">
        <f>G55*AP55</f>
        <v>0</v>
      </c>
      <c r="BJ55" s="15">
        <f>G55*H55</f>
        <v>0</v>
      </c>
    </row>
    <row r="56" spans="1:62" x14ac:dyDescent="0.2">
      <c r="C56" s="58" t="s">
        <v>388</v>
      </c>
      <c r="D56" s="59"/>
      <c r="E56" s="59"/>
      <c r="G56" s="16">
        <v>61.8</v>
      </c>
    </row>
    <row r="57" spans="1:62" x14ac:dyDescent="0.2">
      <c r="A57" s="5"/>
      <c r="B57" s="13" t="s">
        <v>67</v>
      </c>
      <c r="C57" s="66" t="s">
        <v>389</v>
      </c>
      <c r="D57" s="67"/>
      <c r="E57" s="67"/>
      <c r="F57" s="5" t="s">
        <v>6</v>
      </c>
      <c r="G57" s="5" t="s">
        <v>6</v>
      </c>
      <c r="H57" s="5" t="s">
        <v>6</v>
      </c>
      <c r="I57" s="35">
        <f>SUM(I58:I60)</f>
        <v>0</v>
      </c>
      <c r="J57" s="35">
        <f>SUM(J58:J60)</f>
        <v>0</v>
      </c>
      <c r="K57" s="35">
        <f>SUM(K58:K60)</f>
        <v>0</v>
      </c>
      <c r="L57" s="28"/>
      <c r="AI57" s="28"/>
      <c r="AS57" s="35">
        <f>SUM(AJ58:AJ60)</f>
        <v>0</v>
      </c>
      <c r="AT57" s="35">
        <f>SUM(AK58:AK60)</f>
        <v>0</v>
      </c>
      <c r="AU57" s="35">
        <f>SUM(AL58:AL60)</f>
        <v>0</v>
      </c>
    </row>
    <row r="58" spans="1:62" x14ac:dyDescent="0.2">
      <c r="A58" s="4" t="s">
        <v>20</v>
      </c>
      <c r="B58" s="4" t="s">
        <v>183</v>
      </c>
      <c r="C58" s="56" t="s">
        <v>390</v>
      </c>
      <c r="D58" s="57"/>
      <c r="E58" s="57"/>
      <c r="F58" s="4" t="s">
        <v>826</v>
      </c>
      <c r="G58" s="15">
        <v>797.87400000000002</v>
      </c>
      <c r="H58" s="15">
        <v>0</v>
      </c>
      <c r="I58" s="15">
        <f>G58*AO58</f>
        <v>0</v>
      </c>
      <c r="J58" s="15">
        <f>G58*AP58</f>
        <v>0</v>
      </c>
      <c r="K58" s="15">
        <f>G58*H58</f>
        <v>0</v>
      </c>
      <c r="L58" s="27" t="s">
        <v>846</v>
      </c>
      <c r="Z58" s="32">
        <f>IF(AQ58="5",BJ58,0)</f>
        <v>0</v>
      </c>
      <c r="AB58" s="32">
        <f>IF(AQ58="1",BH58,0)</f>
        <v>0</v>
      </c>
      <c r="AC58" s="32">
        <f>IF(AQ58="1",BI58,0)</f>
        <v>0</v>
      </c>
      <c r="AD58" s="32">
        <f>IF(AQ58="7",BH58,0)</f>
        <v>0</v>
      </c>
      <c r="AE58" s="32">
        <f>IF(AQ58="7",BI58,0)</f>
        <v>0</v>
      </c>
      <c r="AF58" s="32">
        <f>IF(AQ58="2",BH58,0)</f>
        <v>0</v>
      </c>
      <c r="AG58" s="32">
        <f>IF(AQ58="2",BI58,0)</f>
        <v>0</v>
      </c>
      <c r="AH58" s="32">
        <f>IF(AQ58="0",BJ58,0)</f>
        <v>0</v>
      </c>
      <c r="AI58" s="28"/>
      <c r="AJ58" s="15">
        <f>IF(AN58=0,K58,0)</f>
        <v>0</v>
      </c>
      <c r="AK58" s="15">
        <f>IF(AN58=15,K58,0)</f>
        <v>0</v>
      </c>
      <c r="AL58" s="15">
        <f>IF(AN58=21,K58,0)</f>
        <v>0</v>
      </c>
      <c r="AN58" s="32">
        <v>21</v>
      </c>
      <c r="AO58" s="32">
        <f>H58*0.0435406675065181</f>
        <v>0</v>
      </c>
      <c r="AP58" s="32">
        <f>H58*(1-0.0435406675065181)</f>
        <v>0</v>
      </c>
      <c r="AQ58" s="27" t="s">
        <v>7</v>
      </c>
      <c r="AV58" s="32">
        <f>AW58+AX58</f>
        <v>0</v>
      </c>
      <c r="AW58" s="32">
        <f>G58*AO58</f>
        <v>0</v>
      </c>
      <c r="AX58" s="32">
        <f>G58*AP58</f>
        <v>0</v>
      </c>
      <c r="AY58" s="33" t="s">
        <v>865</v>
      </c>
      <c r="AZ58" s="33" t="s">
        <v>889</v>
      </c>
      <c r="BA58" s="28" t="s">
        <v>895</v>
      </c>
      <c r="BC58" s="32">
        <f>AW58+AX58</f>
        <v>0</v>
      </c>
      <c r="BD58" s="32">
        <f>H58/(100-BE58)*100</f>
        <v>0</v>
      </c>
      <c r="BE58" s="32">
        <v>0</v>
      </c>
      <c r="BF58" s="32">
        <f>56</f>
        <v>56</v>
      </c>
      <c r="BH58" s="15">
        <f>G58*AO58</f>
        <v>0</v>
      </c>
      <c r="BI58" s="15">
        <f>G58*AP58</f>
        <v>0</v>
      </c>
      <c r="BJ58" s="15">
        <f>G58*H58</f>
        <v>0</v>
      </c>
    </row>
    <row r="59" spans="1:62" x14ac:dyDescent="0.2">
      <c r="C59" s="58" t="s">
        <v>391</v>
      </c>
      <c r="D59" s="59"/>
      <c r="E59" s="59"/>
      <c r="G59" s="16">
        <v>797.87400000000002</v>
      </c>
    </row>
    <row r="60" spans="1:62" x14ac:dyDescent="0.2">
      <c r="A60" s="4" t="s">
        <v>21</v>
      </c>
      <c r="B60" s="4" t="s">
        <v>184</v>
      </c>
      <c r="C60" s="56" t="s">
        <v>392</v>
      </c>
      <c r="D60" s="57"/>
      <c r="E60" s="57"/>
      <c r="F60" s="4" t="s">
        <v>823</v>
      </c>
      <c r="G60" s="15">
        <v>398.93700000000001</v>
      </c>
      <c r="H60" s="15">
        <v>0</v>
      </c>
      <c r="I60" s="15">
        <f>G60*AO60</f>
        <v>0</v>
      </c>
      <c r="J60" s="15">
        <f>G60*AP60</f>
        <v>0</v>
      </c>
      <c r="K60" s="15">
        <f>G60*H60</f>
        <v>0</v>
      </c>
      <c r="L60" s="27" t="s">
        <v>846</v>
      </c>
      <c r="Z60" s="32">
        <f>IF(AQ60="5",BJ60,0)</f>
        <v>0</v>
      </c>
      <c r="AB60" s="32">
        <f>IF(AQ60="1",BH60,0)</f>
        <v>0</v>
      </c>
      <c r="AC60" s="32">
        <f>IF(AQ60="1",BI60,0)</f>
        <v>0</v>
      </c>
      <c r="AD60" s="32">
        <f>IF(AQ60="7",BH60,0)</f>
        <v>0</v>
      </c>
      <c r="AE60" s="32">
        <f>IF(AQ60="7",BI60,0)</f>
        <v>0</v>
      </c>
      <c r="AF60" s="32">
        <f>IF(AQ60="2",BH60,0)</f>
        <v>0</v>
      </c>
      <c r="AG60" s="32">
        <f>IF(AQ60="2",BI60,0)</f>
        <v>0</v>
      </c>
      <c r="AH60" s="32">
        <f>IF(AQ60="0",BJ60,0)</f>
        <v>0</v>
      </c>
      <c r="AI60" s="28"/>
      <c r="AJ60" s="15">
        <f>IF(AN60=0,K60,0)</f>
        <v>0</v>
      </c>
      <c r="AK60" s="15">
        <f>IF(AN60=15,K60,0)</f>
        <v>0</v>
      </c>
      <c r="AL60" s="15">
        <f>IF(AN60=21,K60,0)</f>
        <v>0</v>
      </c>
      <c r="AN60" s="32">
        <v>21</v>
      </c>
      <c r="AO60" s="32">
        <f>H60*0.142324157930402</f>
        <v>0</v>
      </c>
      <c r="AP60" s="32">
        <f>H60*(1-0.142324157930402)</f>
        <v>0</v>
      </c>
      <c r="AQ60" s="27" t="s">
        <v>7</v>
      </c>
      <c r="AV60" s="32">
        <f>AW60+AX60</f>
        <v>0</v>
      </c>
      <c r="AW60" s="32">
        <f>G60*AO60</f>
        <v>0</v>
      </c>
      <c r="AX60" s="32">
        <f>G60*AP60</f>
        <v>0</v>
      </c>
      <c r="AY60" s="33" t="s">
        <v>865</v>
      </c>
      <c r="AZ60" s="33" t="s">
        <v>889</v>
      </c>
      <c r="BA60" s="28" t="s">
        <v>895</v>
      </c>
      <c r="BC60" s="32">
        <f>AW60+AX60</f>
        <v>0</v>
      </c>
      <c r="BD60" s="32">
        <f>H60/(100-BE60)*100</f>
        <v>0</v>
      </c>
      <c r="BE60" s="32">
        <v>0</v>
      </c>
      <c r="BF60" s="32">
        <f>58</f>
        <v>58</v>
      </c>
      <c r="BH60" s="15">
        <f>G60*AO60</f>
        <v>0</v>
      </c>
      <c r="BI60" s="15">
        <f>G60*AP60</f>
        <v>0</v>
      </c>
      <c r="BJ60" s="15">
        <f>G60*H60</f>
        <v>0</v>
      </c>
    </row>
    <row r="61" spans="1:62" x14ac:dyDescent="0.2">
      <c r="C61" s="58" t="s">
        <v>393</v>
      </c>
      <c r="D61" s="59"/>
      <c r="E61" s="59"/>
      <c r="G61" s="16">
        <v>398.93700000000001</v>
      </c>
    </row>
    <row r="62" spans="1:62" x14ac:dyDescent="0.2">
      <c r="A62" s="5"/>
      <c r="B62" s="13" t="s">
        <v>68</v>
      </c>
      <c r="C62" s="66" t="s">
        <v>394</v>
      </c>
      <c r="D62" s="67"/>
      <c r="E62" s="67"/>
      <c r="F62" s="5" t="s">
        <v>6</v>
      </c>
      <c r="G62" s="5" t="s">
        <v>6</v>
      </c>
      <c r="H62" s="5" t="s">
        <v>6</v>
      </c>
      <c r="I62" s="35">
        <f>SUM(I63:I131)</f>
        <v>0</v>
      </c>
      <c r="J62" s="35">
        <f>SUM(J63:J131)</f>
        <v>0</v>
      </c>
      <c r="K62" s="35">
        <f>SUM(K63:K131)</f>
        <v>0</v>
      </c>
      <c r="L62" s="28"/>
      <c r="AI62" s="28"/>
      <c r="AS62" s="35">
        <f>SUM(AJ63:AJ131)</f>
        <v>0</v>
      </c>
      <c r="AT62" s="35">
        <f>SUM(AK63:AK131)</f>
        <v>0</v>
      </c>
      <c r="AU62" s="35">
        <f>SUM(AL63:AL131)</f>
        <v>0</v>
      </c>
    </row>
    <row r="63" spans="1:62" x14ac:dyDescent="0.2">
      <c r="A63" s="4" t="s">
        <v>22</v>
      </c>
      <c r="B63" s="4" t="s">
        <v>185</v>
      </c>
      <c r="C63" s="56" t="s">
        <v>395</v>
      </c>
      <c r="D63" s="57"/>
      <c r="E63" s="57"/>
      <c r="F63" s="4" t="s">
        <v>826</v>
      </c>
      <c r="G63" s="15">
        <v>32</v>
      </c>
      <c r="H63" s="15">
        <v>0</v>
      </c>
      <c r="I63" s="15">
        <f>G63*AO63</f>
        <v>0</v>
      </c>
      <c r="J63" s="15">
        <f>G63*AP63</f>
        <v>0</v>
      </c>
      <c r="K63" s="15">
        <f>G63*H63</f>
        <v>0</v>
      </c>
      <c r="L63" s="27" t="s">
        <v>846</v>
      </c>
      <c r="Z63" s="32">
        <f>IF(AQ63="5",BJ63,0)</f>
        <v>0</v>
      </c>
      <c r="AB63" s="32">
        <f>IF(AQ63="1",BH63,0)</f>
        <v>0</v>
      </c>
      <c r="AC63" s="32">
        <f>IF(AQ63="1",BI63,0)</f>
        <v>0</v>
      </c>
      <c r="AD63" s="32">
        <f>IF(AQ63="7",BH63,0)</f>
        <v>0</v>
      </c>
      <c r="AE63" s="32">
        <f>IF(AQ63="7",BI63,0)</f>
        <v>0</v>
      </c>
      <c r="AF63" s="32">
        <f>IF(AQ63="2",BH63,0)</f>
        <v>0</v>
      </c>
      <c r="AG63" s="32">
        <f>IF(AQ63="2",BI63,0)</f>
        <v>0</v>
      </c>
      <c r="AH63" s="32">
        <f>IF(AQ63="0",BJ63,0)</f>
        <v>0</v>
      </c>
      <c r="AI63" s="28"/>
      <c r="AJ63" s="15">
        <f>IF(AN63=0,K63,0)</f>
        <v>0</v>
      </c>
      <c r="AK63" s="15">
        <f>IF(AN63=15,K63,0)</f>
        <v>0</v>
      </c>
      <c r="AL63" s="15">
        <f>IF(AN63=21,K63,0)</f>
        <v>0</v>
      </c>
      <c r="AN63" s="32">
        <v>21</v>
      </c>
      <c r="AO63" s="32">
        <f>H63*0.707709923664122</f>
        <v>0</v>
      </c>
      <c r="AP63" s="32">
        <f>H63*(1-0.707709923664122)</f>
        <v>0</v>
      </c>
      <c r="AQ63" s="27" t="s">
        <v>7</v>
      </c>
      <c r="AV63" s="32">
        <f>AW63+AX63</f>
        <v>0</v>
      </c>
      <c r="AW63" s="32">
        <f>G63*AO63</f>
        <v>0</v>
      </c>
      <c r="AX63" s="32">
        <f>G63*AP63</f>
        <v>0</v>
      </c>
      <c r="AY63" s="33" t="s">
        <v>866</v>
      </c>
      <c r="AZ63" s="33" t="s">
        <v>889</v>
      </c>
      <c r="BA63" s="28" t="s">
        <v>895</v>
      </c>
      <c r="BC63" s="32">
        <f>AW63+AX63</f>
        <v>0</v>
      </c>
      <c r="BD63" s="32">
        <f>H63/(100-BE63)*100</f>
        <v>0</v>
      </c>
      <c r="BE63" s="32">
        <v>0</v>
      </c>
      <c r="BF63" s="32">
        <f>61</f>
        <v>61</v>
      </c>
      <c r="BH63" s="15">
        <f>G63*AO63</f>
        <v>0</v>
      </c>
      <c r="BI63" s="15">
        <f>G63*AP63</f>
        <v>0</v>
      </c>
      <c r="BJ63" s="15">
        <f>G63*H63</f>
        <v>0</v>
      </c>
    </row>
    <row r="64" spans="1:62" x14ac:dyDescent="0.2">
      <c r="C64" s="58" t="s">
        <v>396</v>
      </c>
      <c r="D64" s="59"/>
      <c r="E64" s="59"/>
      <c r="G64" s="16">
        <v>32</v>
      </c>
    </row>
    <row r="65" spans="1:62" x14ac:dyDescent="0.2">
      <c r="A65" s="4" t="s">
        <v>23</v>
      </c>
      <c r="B65" s="4" t="s">
        <v>186</v>
      </c>
      <c r="C65" s="56" t="s">
        <v>397</v>
      </c>
      <c r="D65" s="57"/>
      <c r="E65" s="57"/>
      <c r="F65" s="4" t="s">
        <v>823</v>
      </c>
      <c r="G65" s="15">
        <v>65</v>
      </c>
      <c r="H65" s="15">
        <v>0</v>
      </c>
      <c r="I65" s="15">
        <f>G65*AO65</f>
        <v>0</v>
      </c>
      <c r="J65" s="15">
        <f>G65*AP65</f>
        <v>0</v>
      </c>
      <c r="K65" s="15">
        <f>G65*H65</f>
        <v>0</v>
      </c>
      <c r="L65" s="27" t="s">
        <v>846</v>
      </c>
      <c r="Z65" s="32">
        <f>IF(AQ65="5",BJ65,0)</f>
        <v>0</v>
      </c>
      <c r="AB65" s="32">
        <f>IF(AQ65="1",BH65,0)</f>
        <v>0</v>
      </c>
      <c r="AC65" s="32">
        <f>IF(AQ65="1",BI65,0)</f>
        <v>0</v>
      </c>
      <c r="AD65" s="32">
        <f>IF(AQ65="7",BH65,0)</f>
        <v>0</v>
      </c>
      <c r="AE65" s="32">
        <f>IF(AQ65="7",BI65,0)</f>
        <v>0</v>
      </c>
      <c r="AF65" s="32">
        <f>IF(AQ65="2",BH65,0)</f>
        <v>0</v>
      </c>
      <c r="AG65" s="32">
        <f>IF(AQ65="2",BI65,0)</f>
        <v>0</v>
      </c>
      <c r="AH65" s="32">
        <f>IF(AQ65="0",BJ65,0)</f>
        <v>0</v>
      </c>
      <c r="AI65" s="28"/>
      <c r="AJ65" s="15">
        <f>IF(AN65=0,K65,0)</f>
        <v>0</v>
      </c>
      <c r="AK65" s="15">
        <f>IF(AN65=15,K65,0)</f>
        <v>0</v>
      </c>
      <c r="AL65" s="15">
        <f>IF(AN65=21,K65,0)</f>
        <v>0</v>
      </c>
      <c r="AN65" s="32">
        <v>21</v>
      </c>
      <c r="AO65" s="32">
        <f>H65*0.612617496442435</f>
        <v>0</v>
      </c>
      <c r="AP65" s="32">
        <f>H65*(1-0.612617496442435)</f>
        <v>0</v>
      </c>
      <c r="AQ65" s="27" t="s">
        <v>7</v>
      </c>
      <c r="AV65" s="32">
        <f>AW65+AX65</f>
        <v>0</v>
      </c>
      <c r="AW65" s="32">
        <f>G65*AO65</f>
        <v>0</v>
      </c>
      <c r="AX65" s="32">
        <f>G65*AP65</f>
        <v>0</v>
      </c>
      <c r="AY65" s="33" t="s">
        <v>866</v>
      </c>
      <c r="AZ65" s="33" t="s">
        <v>889</v>
      </c>
      <c r="BA65" s="28" t="s">
        <v>895</v>
      </c>
      <c r="BC65" s="32">
        <f>AW65+AX65</f>
        <v>0</v>
      </c>
      <c r="BD65" s="32">
        <f>H65/(100-BE65)*100</f>
        <v>0</v>
      </c>
      <c r="BE65" s="32">
        <v>0</v>
      </c>
      <c r="BF65" s="32">
        <f>63</f>
        <v>63</v>
      </c>
      <c r="BH65" s="15">
        <f>G65*AO65</f>
        <v>0</v>
      </c>
      <c r="BI65" s="15">
        <f>G65*AP65</f>
        <v>0</v>
      </c>
      <c r="BJ65" s="15">
        <f>G65*H65</f>
        <v>0</v>
      </c>
    </row>
    <row r="66" spans="1:62" x14ac:dyDescent="0.2">
      <c r="C66" s="58" t="s">
        <v>398</v>
      </c>
      <c r="D66" s="59"/>
      <c r="E66" s="59"/>
      <c r="G66" s="16">
        <v>65</v>
      </c>
    </row>
    <row r="67" spans="1:62" x14ac:dyDescent="0.2">
      <c r="A67" s="4" t="s">
        <v>24</v>
      </c>
      <c r="B67" s="4" t="s">
        <v>186</v>
      </c>
      <c r="C67" s="56" t="s">
        <v>399</v>
      </c>
      <c r="D67" s="57"/>
      <c r="E67" s="57"/>
      <c r="F67" s="4" t="s">
        <v>823</v>
      </c>
      <c r="G67" s="15">
        <v>39</v>
      </c>
      <c r="H67" s="15">
        <v>0</v>
      </c>
      <c r="I67" s="15">
        <f>G67*AO67</f>
        <v>0</v>
      </c>
      <c r="J67" s="15">
        <f>G67*AP67</f>
        <v>0</v>
      </c>
      <c r="K67" s="15">
        <f>G67*H67</f>
        <v>0</v>
      </c>
      <c r="L67" s="27" t="s">
        <v>846</v>
      </c>
      <c r="Z67" s="32">
        <f>IF(AQ67="5",BJ67,0)</f>
        <v>0</v>
      </c>
      <c r="AB67" s="32">
        <f>IF(AQ67="1",BH67,0)</f>
        <v>0</v>
      </c>
      <c r="AC67" s="32">
        <f>IF(AQ67="1",BI67,0)</f>
        <v>0</v>
      </c>
      <c r="AD67" s="32">
        <f>IF(AQ67="7",BH67,0)</f>
        <v>0</v>
      </c>
      <c r="AE67" s="32">
        <f>IF(AQ67="7",BI67,0)</f>
        <v>0</v>
      </c>
      <c r="AF67" s="32">
        <f>IF(AQ67="2",BH67,0)</f>
        <v>0</v>
      </c>
      <c r="AG67" s="32">
        <f>IF(AQ67="2",BI67,0)</f>
        <v>0</v>
      </c>
      <c r="AH67" s="32">
        <f>IF(AQ67="0",BJ67,0)</f>
        <v>0</v>
      </c>
      <c r="AI67" s="28"/>
      <c r="AJ67" s="15">
        <f>IF(AN67=0,K67,0)</f>
        <v>0</v>
      </c>
      <c r="AK67" s="15">
        <f>IF(AN67=15,K67,0)</f>
        <v>0</v>
      </c>
      <c r="AL67" s="15">
        <f>IF(AN67=21,K67,0)</f>
        <v>0</v>
      </c>
      <c r="AN67" s="32">
        <v>21</v>
      </c>
      <c r="AO67" s="32">
        <f>H67*0.612617496442435</f>
        <v>0</v>
      </c>
      <c r="AP67" s="32">
        <f>H67*(1-0.612617496442435)</f>
        <v>0</v>
      </c>
      <c r="AQ67" s="27" t="s">
        <v>7</v>
      </c>
      <c r="AV67" s="32">
        <f>AW67+AX67</f>
        <v>0</v>
      </c>
      <c r="AW67" s="32">
        <f>G67*AO67</f>
        <v>0</v>
      </c>
      <c r="AX67" s="32">
        <f>G67*AP67</f>
        <v>0</v>
      </c>
      <c r="AY67" s="33" t="s">
        <v>866</v>
      </c>
      <c r="AZ67" s="33" t="s">
        <v>889</v>
      </c>
      <c r="BA67" s="28" t="s">
        <v>895</v>
      </c>
      <c r="BC67" s="32">
        <f>AW67+AX67</f>
        <v>0</v>
      </c>
      <c r="BD67" s="32">
        <f>H67/(100-BE67)*100</f>
        <v>0</v>
      </c>
      <c r="BE67" s="32">
        <v>0</v>
      </c>
      <c r="BF67" s="32">
        <f>65</f>
        <v>65</v>
      </c>
      <c r="BH67" s="15">
        <f>G67*AO67</f>
        <v>0</v>
      </c>
      <c r="BI67" s="15">
        <f>G67*AP67</f>
        <v>0</v>
      </c>
      <c r="BJ67" s="15">
        <f>G67*H67</f>
        <v>0</v>
      </c>
    </row>
    <row r="68" spans="1:62" x14ac:dyDescent="0.2">
      <c r="C68" s="58" t="s">
        <v>400</v>
      </c>
      <c r="D68" s="59"/>
      <c r="E68" s="59"/>
      <c r="G68" s="16">
        <v>39</v>
      </c>
    </row>
    <row r="69" spans="1:62" x14ac:dyDescent="0.2">
      <c r="A69" s="4" t="s">
        <v>25</v>
      </c>
      <c r="B69" s="4" t="s">
        <v>187</v>
      </c>
      <c r="C69" s="56" t="s">
        <v>401</v>
      </c>
      <c r="D69" s="57"/>
      <c r="E69" s="57"/>
      <c r="F69" s="4" t="s">
        <v>823</v>
      </c>
      <c r="G69" s="15">
        <v>136.5</v>
      </c>
      <c r="H69" s="15">
        <v>0</v>
      </c>
      <c r="I69" s="15">
        <f>G69*AO69</f>
        <v>0</v>
      </c>
      <c r="J69" s="15">
        <f>G69*AP69</f>
        <v>0</v>
      </c>
      <c r="K69" s="15">
        <f>G69*H69</f>
        <v>0</v>
      </c>
      <c r="L69" s="27" t="s">
        <v>846</v>
      </c>
      <c r="Z69" s="32">
        <f>IF(AQ69="5",BJ69,0)</f>
        <v>0</v>
      </c>
      <c r="AB69" s="32">
        <f>IF(AQ69="1",BH69,0)</f>
        <v>0</v>
      </c>
      <c r="AC69" s="32">
        <f>IF(AQ69="1",BI69,0)</f>
        <v>0</v>
      </c>
      <c r="AD69" s="32">
        <f>IF(AQ69="7",BH69,0)</f>
        <v>0</v>
      </c>
      <c r="AE69" s="32">
        <f>IF(AQ69="7",BI69,0)</f>
        <v>0</v>
      </c>
      <c r="AF69" s="32">
        <f>IF(AQ69="2",BH69,0)</f>
        <v>0</v>
      </c>
      <c r="AG69" s="32">
        <f>IF(AQ69="2",BI69,0)</f>
        <v>0</v>
      </c>
      <c r="AH69" s="32">
        <f>IF(AQ69="0",BJ69,0)</f>
        <v>0</v>
      </c>
      <c r="AI69" s="28"/>
      <c r="AJ69" s="15">
        <f>IF(AN69=0,K69,0)</f>
        <v>0</v>
      </c>
      <c r="AK69" s="15">
        <f>IF(AN69=15,K69,0)</f>
        <v>0</v>
      </c>
      <c r="AL69" s="15">
        <f>IF(AN69=21,K69,0)</f>
        <v>0</v>
      </c>
      <c r="AN69" s="32">
        <v>21</v>
      </c>
      <c r="AO69" s="32">
        <f>H69*0.663979899497487</f>
        <v>0</v>
      </c>
      <c r="AP69" s="32">
        <f>H69*(1-0.663979899497487)</f>
        <v>0</v>
      </c>
      <c r="AQ69" s="27" t="s">
        <v>7</v>
      </c>
      <c r="AV69" s="32">
        <f>AW69+AX69</f>
        <v>0</v>
      </c>
      <c r="AW69" s="32">
        <f>G69*AO69</f>
        <v>0</v>
      </c>
      <c r="AX69" s="32">
        <f>G69*AP69</f>
        <v>0</v>
      </c>
      <c r="AY69" s="33" t="s">
        <v>866</v>
      </c>
      <c r="AZ69" s="33" t="s">
        <v>889</v>
      </c>
      <c r="BA69" s="28" t="s">
        <v>895</v>
      </c>
      <c r="BC69" s="32">
        <f>AW69+AX69</f>
        <v>0</v>
      </c>
      <c r="BD69" s="32">
        <f>H69/(100-BE69)*100</f>
        <v>0</v>
      </c>
      <c r="BE69" s="32">
        <v>0</v>
      </c>
      <c r="BF69" s="32">
        <f>67</f>
        <v>67</v>
      </c>
      <c r="BH69" s="15">
        <f>G69*AO69</f>
        <v>0</v>
      </c>
      <c r="BI69" s="15">
        <f>G69*AP69</f>
        <v>0</v>
      </c>
      <c r="BJ69" s="15">
        <f>G69*H69</f>
        <v>0</v>
      </c>
    </row>
    <row r="70" spans="1:62" x14ac:dyDescent="0.2">
      <c r="C70" s="58" t="s">
        <v>402</v>
      </c>
      <c r="D70" s="59"/>
      <c r="E70" s="59"/>
      <c r="G70" s="16">
        <v>130</v>
      </c>
    </row>
    <row r="71" spans="1:62" x14ac:dyDescent="0.2">
      <c r="C71" s="58" t="s">
        <v>403</v>
      </c>
      <c r="D71" s="59"/>
      <c r="E71" s="59"/>
      <c r="G71" s="16">
        <v>6.5</v>
      </c>
    </row>
    <row r="72" spans="1:62" x14ac:dyDescent="0.2">
      <c r="A72" s="4" t="s">
        <v>26</v>
      </c>
      <c r="B72" s="4" t="s">
        <v>188</v>
      </c>
      <c r="C72" s="56" t="s">
        <v>404</v>
      </c>
      <c r="D72" s="57"/>
      <c r="E72" s="57"/>
      <c r="F72" s="4" t="s">
        <v>823</v>
      </c>
      <c r="G72" s="15">
        <v>1079.81</v>
      </c>
      <c r="H72" s="15">
        <v>0</v>
      </c>
      <c r="I72" s="15">
        <f>G72*AO72</f>
        <v>0</v>
      </c>
      <c r="J72" s="15">
        <f>G72*AP72</f>
        <v>0</v>
      </c>
      <c r="K72" s="15">
        <f>G72*H72</f>
        <v>0</v>
      </c>
      <c r="L72" s="27" t="s">
        <v>846</v>
      </c>
      <c r="Z72" s="32">
        <f>IF(AQ72="5",BJ72,0)</f>
        <v>0</v>
      </c>
      <c r="AB72" s="32">
        <f>IF(AQ72="1",BH72,0)</f>
        <v>0</v>
      </c>
      <c r="AC72" s="32">
        <f>IF(AQ72="1",BI72,0)</f>
        <v>0</v>
      </c>
      <c r="AD72" s="32">
        <f>IF(AQ72="7",BH72,0)</f>
        <v>0</v>
      </c>
      <c r="AE72" s="32">
        <f>IF(AQ72="7",BI72,0)</f>
        <v>0</v>
      </c>
      <c r="AF72" s="32">
        <f>IF(AQ72="2",BH72,0)</f>
        <v>0</v>
      </c>
      <c r="AG72" s="32">
        <f>IF(AQ72="2",BI72,0)</f>
        <v>0</v>
      </c>
      <c r="AH72" s="32">
        <f>IF(AQ72="0",BJ72,0)</f>
        <v>0</v>
      </c>
      <c r="AI72" s="28"/>
      <c r="AJ72" s="15">
        <f>IF(AN72=0,K72,0)</f>
        <v>0</v>
      </c>
      <c r="AK72" s="15">
        <f>IF(AN72=15,K72,0)</f>
        <v>0</v>
      </c>
      <c r="AL72" s="15">
        <f>IF(AN72=21,K72,0)</f>
        <v>0</v>
      </c>
      <c r="AN72" s="32">
        <v>21</v>
      </c>
      <c r="AO72" s="32">
        <f>H72*0.474687224669603</f>
        <v>0</v>
      </c>
      <c r="AP72" s="32">
        <f>H72*(1-0.474687224669603)</f>
        <v>0</v>
      </c>
      <c r="AQ72" s="27" t="s">
        <v>7</v>
      </c>
      <c r="AV72" s="32">
        <f>AW72+AX72</f>
        <v>0</v>
      </c>
      <c r="AW72" s="32">
        <f>G72*AO72</f>
        <v>0</v>
      </c>
      <c r="AX72" s="32">
        <f>G72*AP72</f>
        <v>0</v>
      </c>
      <c r="AY72" s="33" t="s">
        <v>866</v>
      </c>
      <c r="AZ72" s="33" t="s">
        <v>889</v>
      </c>
      <c r="BA72" s="28" t="s">
        <v>895</v>
      </c>
      <c r="BC72" s="32">
        <f>AW72+AX72</f>
        <v>0</v>
      </c>
      <c r="BD72" s="32">
        <f>H72/(100-BE72)*100</f>
        <v>0</v>
      </c>
      <c r="BE72" s="32">
        <v>0</v>
      </c>
      <c r="BF72" s="32">
        <f>70</f>
        <v>70</v>
      </c>
      <c r="BH72" s="15">
        <f>G72*AO72</f>
        <v>0</v>
      </c>
      <c r="BI72" s="15">
        <f>G72*AP72</f>
        <v>0</v>
      </c>
      <c r="BJ72" s="15">
        <f>G72*H72</f>
        <v>0</v>
      </c>
    </row>
    <row r="73" spans="1:62" x14ac:dyDescent="0.2">
      <c r="C73" s="58" t="s">
        <v>405</v>
      </c>
      <c r="D73" s="59"/>
      <c r="E73" s="59"/>
      <c r="G73" s="16">
        <v>518.15</v>
      </c>
    </row>
    <row r="74" spans="1:62" x14ac:dyDescent="0.2">
      <c r="C74" s="58" t="s">
        <v>406</v>
      </c>
      <c r="D74" s="59"/>
      <c r="E74" s="59"/>
      <c r="G74" s="16">
        <v>242.5</v>
      </c>
    </row>
    <row r="75" spans="1:62" x14ac:dyDescent="0.2">
      <c r="C75" s="58" t="s">
        <v>407</v>
      </c>
      <c r="D75" s="59"/>
      <c r="E75" s="59"/>
      <c r="G75" s="16">
        <v>563.75</v>
      </c>
    </row>
    <row r="76" spans="1:62" x14ac:dyDescent="0.2">
      <c r="C76" s="58" t="s">
        <v>408</v>
      </c>
      <c r="D76" s="59"/>
      <c r="E76" s="59"/>
      <c r="G76" s="16">
        <v>307.5</v>
      </c>
    </row>
    <row r="77" spans="1:62" x14ac:dyDescent="0.2">
      <c r="C77" s="58" t="s">
        <v>409</v>
      </c>
      <c r="D77" s="59"/>
      <c r="E77" s="59"/>
      <c r="G77" s="16">
        <v>-226.8</v>
      </c>
    </row>
    <row r="78" spans="1:62" x14ac:dyDescent="0.2">
      <c r="C78" s="58" t="s">
        <v>410</v>
      </c>
      <c r="D78" s="59"/>
      <c r="E78" s="59"/>
      <c r="G78" s="16">
        <v>-38.880000000000003</v>
      </c>
    </row>
    <row r="79" spans="1:62" x14ac:dyDescent="0.2">
      <c r="C79" s="58" t="s">
        <v>411</v>
      </c>
      <c r="D79" s="59"/>
      <c r="E79" s="59"/>
      <c r="G79" s="16">
        <v>-224.64</v>
      </c>
    </row>
    <row r="80" spans="1:62" x14ac:dyDescent="0.2">
      <c r="C80" s="58" t="s">
        <v>412</v>
      </c>
      <c r="D80" s="59"/>
      <c r="E80" s="59"/>
      <c r="G80" s="16">
        <v>-61.77</v>
      </c>
    </row>
    <row r="81" spans="1:62" x14ac:dyDescent="0.2">
      <c r="C81" s="58" t="s">
        <v>413</v>
      </c>
      <c r="D81" s="59"/>
      <c r="E81" s="59"/>
      <c r="G81" s="16">
        <v>0</v>
      </c>
    </row>
    <row r="82" spans="1:62" x14ac:dyDescent="0.2">
      <c r="A82" s="4" t="s">
        <v>27</v>
      </c>
      <c r="B82" s="4" t="s">
        <v>189</v>
      </c>
      <c r="C82" s="56" t="s">
        <v>414</v>
      </c>
      <c r="D82" s="57"/>
      <c r="E82" s="57"/>
      <c r="F82" s="4" t="s">
        <v>823</v>
      </c>
      <c r="G82" s="15">
        <v>214.53</v>
      </c>
      <c r="H82" s="15">
        <v>0</v>
      </c>
      <c r="I82" s="15">
        <f>G82*AO82</f>
        <v>0</v>
      </c>
      <c r="J82" s="15">
        <f>G82*AP82</f>
        <v>0</v>
      </c>
      <c r="K82" s="15">
        <f>G82*H82</f>
        <v>0</v>
      </c>
      <c r="L82" s="27" t="s">
        <v>846</v>
      </c>
      <c r="Z82" s="32">
        <f>IF(AQ82="5",BJ82,0)</f>
        <v>0</v>
      </c>
      <c r="AB82" s="32">
        <f>IF(AQ82="1",BH82,0)</f>
        <v>0</v>
      </c>
      <c r="AC82" s="32">
        <f>IF(AQ82="1",BI82,0)</f>
        <v>0</v>
      </c>
      <c r="AD82" s="32">
        <f>IF(AQ82="7",BH82,0)</f>
        <v>0</v>
      </c>
      <c r="AE82" s="32">
        <f>IF(AQ82="7",BI82,0)</f>
        <v>0</v>
      </c>
      <c r="AF82" s="32">
        <f>IF(AQ82="2",BH82,0)</f>
        <v>0</v>
      </c>
      <c r="AG82" s="32">
        <f>IF(AQ82="2",BI82,0)</f>
        <v>0</v>
      </c>
      <c r="AH82" s="32">
        <f>IF(AQ82="0",BJ82,0)</f>
        <v>0</v>
      </c>
      <c r="AI82" s="28"/>
      <c r="AJ82" s="15">
        <f>IF(AN82=0,K82,0)</f>
        <v>0</v>
      </c>
      <c r="AK82" s="15">
        <f>IF(AN82=15,K82,0)</f>
        <v>0</v>
      </c>
      <c r="AL82" s="15">
        <f>IF(AN82=21,K82,0)</f>
        <v>0</v>
      </c>
      <c r="AN82" s="32">
        <v>21</v>
      </c>
      <c r="AO82" s="32">
        <f>H82*0.346495192307692</f>
        <v>0</v>
      </c>
      <c r="AP82" s="32">
        <f>H82*(1-0.346495192307692)</f>
        <v>0</v>
      </c>
      <c r="AQ82" s="27" t="s">
        <v>7</v>
      </c>
      <c r="AV82" s="32">
        <f>AW82+AX82</f>
        <v>0</v>
      </c>
      <c r="AW82" s="32">
        <f>G82*AO82</f>
        <v>0</v>
      </c>
      <c r="AX82" s="32">
        <f>G82*AP82</f>
        <v>0</v>
      </c>
      <c r="AY82" s="33" t="s">
        <v>866</v>
      </c>
      <c r="AZ82" s="33" t="s">
        <v>889</v>
      </c>
      <c r="BA82" s="28" t="s">
        <v>895</v>
      </c>
      <c r="BC82" s="32">
        <f>AW82+AX82</f>
        <v>0</v>
      </c>
      <c r="BD82" s="32">
        <f>H82/(100-BE82)*100</f>
        <v>0</v>
      </c>
      <c r="BE82" s="32">
        <v>0</v>
      </c>
      <c r="BF82" s="32">
        <f>80</f>
        <v>80</v>
      </c>
      <c r="BH82" s="15">
        <f>G82*AO82</f>
        <v>0</v>
      </c>
      <c r="BI82" s="15">
        <f>G82*AP82</f>
        <v>0</v>
      </c>
      <c r="BJ82" s="15">
        <f>G82*H82</f>
        <v>0</v>
      </c>
    </row>
    <row r="83" spans="1:62" x14ac:dyDescent="0.2">
      <c r="C83" s="58" t="s">
        <v>415</v>
      </c>
      <c r="D83" s="59"/>
      <c r="E83" s="59"/>
      <c r="G83" s="16">
        <v>58.68</v>
      </c>
    </row>
    <row r="84" spans="1:62" x14ac:dyDescent="0.2">
      <c r="C84" s="58" t="s">
        <v>416</v>
      </c>
      <c r="D84" s="59"/>
      <c r="E84" s="59"/>
      <c r="G84" s="16">
        <v>24.48</v>
      </c>
    </row>
    <row r="85" spans="1:62" x14ac:dyDescent="0.2">
      <c r="C85" s="58" t="s">
        <v>417</v>
      </c>
      <c r="D85" s="59"/>
      <c r="E85" s="59"/>
      <c r="G85" s="16">
        <v>17.82</v>
      </c>
    </row>
    <row r="86" spans="1:62" x14ac:dyDescent="0.2">
      <c r="C86" s="58" t="s">
        <v>418</v>
      </c>
      <c r="D86" s="59"/>
      <c r="E86" s="59"/>
      <c r="G86" s="16">
        <v>67.680000000000007</v>
      </c>
    </row>
    <row r="87" spans="1:62" x14ac:dyDescent="0.2">
      <c r="C87" s="58" t="s">
        <v>419</v>
      </c>
      <c r="D87" s="59"/>
      <c r="E87" s="59"/>
      <c r="G87" s="16">
        <v>20.52</v>
      </c>
    </row>
    <row r="88" spans="1:62" x14ac:dyDescent="0.2">
      <c r="C88" s="58" t="s">
        <v>420</v>
      </c>
      <c r="D88" s="59"/>
      <c r="E88" s="59"/>
      <c r="G88" s="16">
        <v>25.35</v>
      </c>
    </row>
    <row r="89" spans="1:62" x14ac:dyDescent="0.2">
      <c r="A89" s="4" t="s">
        <v>28</v>
      </c>
      <c r="B89" s="4" t="s">
        <v>190</v>
      </c>
      <c r="C89" s="56" t="s">
        <v>421</v>
      </c>
      <c r="D89" s="57"/>
      <c r="E89" s="57"/>
      <c r="F89" s="4" t="s">
        <v>823</v>
      </c>
      <c r="G89" s="15">
        <v>63</v>
      </c>
      <c r="H89" s="15">
        <v>0</v>
      </c>
      <c r="I89" s="15">
        <f>G89*AO89</f>
        <v>0</v>
      </c>
      <c r="J89" s="15">
        <f>G89*AP89</f>
        <v>0</v>
      </c>
      <c r="K89" s="15">
        <f>G89*H89</f>
        <v>0</v>
      </c>
      <c r="L89" s="27" t="s">
        <v>846</v>
      </c>
      <c r="Z89" s="32">
        <f>IF(AQ89="5",BJ89,0)</f>
        <v>0</v>
      </c>
      <c r="AB89" s="32">
        <f>IF(AQ89="1",BH89,0)</f>
        <v>0</v>
      </c>
      <c r="AC89" s="32">
        <f>IF(AQ89="1",BI89,0)</f>
        <v>0</v>
      </c>
      <c r="AD89" s="32">
        <f>IF(AQ89="7",BH89,0)</f>
        <v>0</v>
      </c>
      <c r="AE89" s="32">
        <f>IF(AQ89="7",BI89,0)</f>
        <v>0</v>
      </c>
      <c r="AF89" s="32">
        <f>IF(AQ89="2",BH89,0)</f>
        <v>0</v>
      </c>
      <c r="AG89" s="32">
        <f>IF(AQ89="2",BI89,0)</f>
        <v>0</v>
      </c>
      <c r="AH89" s="32">
        <f>IF(AQ89="0",BJ89,0)</f>
        <v>0</v>
      </c>
      <c r="AI89" s="28"/>
      <c r="AJ89" s="15">
        <f>IF(AN89=0,K89,0)</f>
        <v>0</v>
      </c>
      <c r="AK89" s="15">
        <f>IF(AN89=15,K89,0)</f>
        <v>0</v>
      </c>
      <c r="AL89" s="15">
        <f>IF(AN89=21,K89,0)</f>
        <v>0</v>
      </c>
      <c r="AN89" s="32">
        <v>21</v>
      </c>
      <c r="AO89" s="32">
        <f>H89*0.315567242533058</f>
        <v>0</v>
      </c>
      <c r="AP89" s="32">
        <f>H89*(1-0.315567242533058)</f>
        <v>0</v>
      </c>
      <c r="AQ89" s="27" t="s">
        <v>7</v>
      </c>
      <c r="AV89" s="32">
        <f>AW89+AX89</f>
        <v>0</v>
      </c>
      <c r="AW89" s="32">
        <f>G89*AO89</f>
        <v>0</v>
      </c>
      <c r="AX89" s="32">
        <f>G89*AP89</f>
        <v>0</v>
      </c>
      <c r="AY89" s="33" t="s">
        <v>866</v>
      </c>
      <c r="AZ89" s="33" t="s">
        <v>889</v>
      </c>
      <c r="BA89" s="28" t="s">
        <v>895</v>
      </c>
      <c r="BC89" s="32">
        <f>AW89+AX89</f>
        <v>0</v>
      </c>
      <c r="BD89" s="32">
        <f>H89/(100-BE89)*100</f>
        <v>0</v>
      </c>
      <c r="BE89" s="32">
        <v>0</v>
      </c>
      <c r="BF89" s="32">
        <f>87</f>
        <v>87</v>
      </c>
      <c r="BH89" s="15">
        <f>G89*AO89</f>
        <v>0</v>
      </c>
      <c r="BI89" s="15">
        <f>G89*AP89</f>
        <v>0</v>
      </c>
      <c r="BJ89" s="15">
        <f>G89*H89</f>
        <v>0</v>
      </c>
    </row>
    <row r="90" spans="1:62" x14ac:dyDescent="0.2">
      <c r="C90" s="58" t="s">
        <v>422</v>
      </c>
      <c r="D90" s="59"/>
      <c r="E90" s="59"/>
      <c r="G90" s="16">
        <v>63</v>
      </c>
    </row>
    <row r="91" spans="1:62" x14ac:dyDescent="0.2">
      <c r="A91" s="4" t="s">
        <v>29</v>
      </c>
      <c r="B91" s="4" t="s">
        <v>191</v>
      </c>
      <c r="C91" s="56" t="s">
        <v>423</v>
      </c>
      <c r="D91" s="57"/>
      <c r="E91" s="57"/>
      <c r="F91" s="4" t="s">
        <v>823</v>
      </c>
      <c r="G91" s="15">
        <v>260</v>
      </c>
      <c r="H91" s="15">
        <v>0</v>
      </c>
      <c r="I91" s="15">
        <f>G91*AO91</f>
        <v>0</v>
      </c>
      <c r="J91" s="15">
        <f>G91*AP91</f>
        <v>0</v>
      </c>
      <c r="K91" s="15">
        <f>G91*H91</f>
        <v>0</v>
      </c>
      <c r="L91" s="27" t="s">
        <v>846</v>
      </c>
      <c r="Z91" s="32">
        <f>IF(AQ91="5",BJ91,0)</f>
        <v>0</v>
      </c>
      <c r="AB91" s="32">
        <f>IF(AQ91="1",BH91,0)</f>
        <v>0</v>
      </c>
      <c r="AC91" s="32">
        <f>IF(AQ91="1",BI91,0)</f>
        <v>0</v>
      </c>
      <c r="AD91" s="32">
        <f>IF(AQ91="7",BH91,0)</f>
        <v>0</v>
      </c>
      <c r="AE91" s="32">
        <f>IF(AQ91="7",BI91,0)</f>
        <v>0</v>
      </c>
      <c r="AF91" s="32">
        <f>IF(AQ91="2",BH91,0)</f>
        <v>0</v>
      </c>
      <c r="AG91" s="32">
        <f>IF(AQ91="2",BI91,0)</f>
        <v>0</v>
      </c>
      <c r="AH91" s="32">
        <f>IF(AQ91="0",BJ91,0)</f>
        <v>0</v>
      </c>
      <c r="AI91" s="28"/>
      <c r="AJ91" s="15">
        <f>IF(AN91=0,K91,0)</f>
        <v>0</v>
      </c>
      <c r="AK91" s="15">
        <f>IF(AN91=15,K91,0)</f>
        <v>0</v>
      </c>
      <c r="AL91" s="15">
        <f>IF(AN91=21,K91,0)</f>
        <v>0</v>
      </c>
      <c r="AN91" s="32">
        <v>21</v>
      </c>
      <c r="AO91" s="32">
        <f>H91*0.229030100334448</f>
        <v>0</v>
      </c>
      <c r="AP91" s="32">
        <f>H91*(1-0.229030100334448)</f>
        <v>0</v>
      </c>
      <c r="AQ91" s="27" t="s">
        <v>7</v>
      </c>
      <c r="AV91" s="32">
        <f>AW91+AX91</f>
        <v>0</v>
      </c>
      <c r="AW91" s="32">
        <f>G91*AO91</f>
        <v>0</v>
      </c>
      <c r="AX91" s="32">
        <f>G91*AP91</f>
        <v>0</v>
      </c>
      <c r="AY91" s="33" t="s">
        <v>866</v>
      </c>
      <c r="AZ91" s="33" t="s">
        <v>889</v>
      </c>
      <c r="BA91" s="28" t="s">
        <v>895</v>
      </c>
      <c r="BC91" s="32">
        <f>AW91+AX91</f>
        <v>0</v>
      </c>
      <c r="BD91" s="32">
        <f>H91/(100-BE91)*100</f>
        <v>0</v>
      </c>
      <c r="BE91" s="32">
        <v>0</v>
      </c>
      <c r="BF91" s="32">
        <f>89</f>
        <v>89</v>
      </c>
      <c r="BH91" s="15">
        <f>G91*AO91</f>
        <v>0</v>
      </c>
      <c r="BI91" s="15">
        <f>G91*AP91</f>
        <v>0</v>
      </c>
      <c r="BJ91" s="15">
        <f>G91*H91</f>
        <v>0</v>
      </c>
    </row>
    <row r="92" spans="1:62" x14ac:dyDescent="0.2">
      <c r="C92" s="58" t="s">
        <v>424</v>
      </c>
      <c r="D92" s="59"/>
      <c r="E92" s="59"/>
      <c r="G92" s="16">
        <v>260</v>
      </c>
    </row>
    <row r="93" spans="1:62" x14ac:dyDescent="0.2">
      <c r="A93" s="4" t="s">
        <v>30</v>
      </c>
      <c r="B93" s="4" t="s">
        <v>192</v>
      </c>
      <c r="C93" s="56" t="s">
        <v>425</v>
      </c>
      <c r="D93" s="57"/>
      <c r="E93" s="57"/>
      <c r="F93" s="4" t="s">
        <v>823</v>
      </c>
      <c r="G93" s="15">
        <v>559.06600000000003</v>
      </c>
      <c r="H93" s="15">
        <v>0</v>
      </c>
      <c r="I93" s="15">
        <f>G93*AO93</f>
        <v>0</v>
      </c>
      <c r="J93" s="15">
        <f>G93*AP93</f>
        <v>0</v>
      </c>
      <c r="K93" s="15">
        <f>G93*H93</f>
        <v>0</v>
      </c>
      <c r="L93" s="27" t="s">
        <v>846</v>
      </c>
      <c r="Z93" s="32">
        <f>IF(AQ93="5",BJ93,0)</f>
        <v>0</v>
      </c>
      <c r="AB93" s="32">
        <f>IF(AQ93="1",BH93,0)</f>
        <v>0</v>
      </c>
      <c r="AC93" s="32">
        <f>IF(AQ93="1",BI93,0)</f>
        <v>0</v>
      </c>
      <c r="AD93" s="32">
        <f>IF(AQ93="7",BH93,0)</f>
        <v>0</v>
      </c>
      <c r="AE93" s="32">
        <f>IF(AQ93="7",BI93,0)</f>
        <v>0</v>
      </c>
      <c r="AF93" s="32">
        <f>IF(AQ93="2",BH93,0)</f>
        <v>0</v>
      </c>
      <c r="AG93" s="32">
        <f>IF(AQ93="2",BI93,0)</f>
        <v>0</v>
      </c>
      <c r="AH93" s="32">
        <f>IF(AQ93="0",BJ93,0)</f>
        <v>0</v>
      </c>
      <c r="AI93" s="28"/>
      <c r="AJ93" s="15">
        <f>IF(AN93=0,K93,0)</f>
        <v>0</v>
      </c>
      <c r="AK93" s="15">
        <f>IF(AN93=15,K93,0)</f>
        <v>0</v>
      </c>
      <c r="AL93" s="15">
        <f>IF(AN93=21,K93,0)</f>
        <v>0</v>
      </c>
      <c r="AN93" s="32">
        <v>21</v>
      </c>
      <c r="AO93" s="32">
        <f>H93*0.293654223282655</f>
        <v>0</v>
      </c>
      <c r="AP93" s="32">
        <f>H93*(1-0.293654223282655)</f>
        <v>0</v>
      </c>
      <c r="AQ93" s="27" t="s">
        <v>7</v>
      </c>
      <c r="AV93" s="32">
        <f>AW93+AX93</f>
        <v>0</v>
      </c>
      <c r="AW93" s="32">
        <f>G93*AO93</f>
        <v>0</v>
      </c>
      <c r="AX93" s="32">
        <f>G93*AP93</f>
        <v>0</v>
      </c>
      <c r="AY93" s="33" t="s">
        <v>866</v>
      </c>
      <c r="AZ93" s="33" t="s">
        <v>889</v>
      </c>
      <c r="BA93" s="28" t="s">
        <v>895</v>
      </c>
      <c r="BC93" s="32">
        <f>AW93+AX93</f>
        <v>0</v>
      </c>
      <c r="BD93" s="32">
        <f>H93/(100-BE93)*100</f>
        <v>0</v>
      </c>
      <c r="BE93" s="32">
        <v>0</v>
      </c>
      <c r="BF93" s="32">
        <f>91</f>
        <v>91</v>
      </c>
      <c r="BH93" s="15">
        <f>G93*AO93</f>
        <v>0</v>
      </c>
      <c r="BI93" s="15">
        <f>G93*AP93</f>
        <v>0</v>
      </c>
      <c r="BJ93" s="15">
        <f>G93*H93</f>
        <v>0</v>
      </c>
    </row>
    <row r="94" spans="1:62" x14ac:dyDescent="0.2">
      <c r="C94" s="58" t="s">
        <v>426</v>
      </c>
      <c r="D94" s="59"/>
      <c r="E94" s="59"/>
      <c r="G94" s="16">
        <v>180</v>
      </c>
    </row>
    <row r="95" spans="1:62" x14ac:dyDescent="0.2">
      <c r="C95" s="58" t="s">
        <v>427</v>
      </c>
      <c r="D95" s="59"/>
      <c r="E95" s="59"/>
      <c r="G95" s="16">
        <v>48.24</v>
      </c>
    </row>
    <row r="96" spans="1:62" x14ac:dyDescent="0.2">
      <c r="C96" s="58" t="s">
        <v>428</v>
      </c>
      <c r="D96" s="59"/>
      <c r="E96" s="59"/>
      <c r="G96" s="16">
        <v>38.880000000000003</v>
      </c>
    </row>
    <row r="97" spans="1:62" x14ac:dyDescent="0.2">
      <c r="C97" s="58" t="s">
        <v>429</v>
      </c>
      <c r="D97" s="59"/>
      <c r="E97" s="59"/>
      <c r="G97" s="16">
        <v>172.8</v>
      </c>
    </row>
    <row r="98" spans="1:62" x14ac:dyDescent="0.2">
      <c r="C98" s="58" t="s">
        <v>430</v>
      </c>
      <c r="D98" s="59"/>
      <c r="E98" s="59"/>
      <c r="G98" s="16">
        <v>54.72</v>
      </c>
    </row>
    <row r="99" spans="1:62" x14ac:dyDescent="0.2">
      <c r="C99" s="58" t="s">
        <v>431</v>
      </c>
      <c r="D99" s="59"/>
      <c r="E99" s="59"/>
      <c r="G99" s="16">
        <v>61.77</v>
      </c>
    </row>
    <row r="100" spans="1:62" x14ac:dyDescent="0.2">
      <c r="C100" s="58" t="s">
        <v>432</v>
      </c>
      <c r="D100" s="59"/>
      <c r="E100" s="59"/>
      <c r="G100" s="16">
        <v>2.6560000000000001</v>
      </c>
    </row>
    <row r="101" spans="1:62" x14ac:dyDescent="0.2">
      <c r="A101" s="4" t="s">
        <v>31</v>
      </c>
      <c r="B101" s="4" t="s">
        <v>193</v>
      </c>
      <c r="C101" s="56" t="s">
        <v>433</v>
      </c>
      <c r="D101" s="57"/>
      <c r="E101" s="57"/>
      <c r="F101" s="4" t="s">
        <v>823</v>
      </c>
      <c r="G101" s="15">
        <v>40.950000000000003</v>
      </c>
      <c r="H101" s="15">
        <v>0</v>
      </c>
      <c r="I101" s="15">
        <f>G101*AO101</f>
        <v>0</v>
      </c>
      <c r="J101" s="15">
        <f>G101*AP101</f>
        <v>0</v>
      </c>
      <c r="K101" s="15">
        <f>G101*H101</f>
        <v>0</v>
      </c>
      <c r="L101" s="27" t="s">
        <v>846</v>
      </c>
      <c r="Z101" s="32">
        <f>IF(AQ101="5",BJ101,0)</f>
        <v>0</v>
      </c>
      <c r="AB101" s="32">
        <f>IF(AQ101="1",BH101,0)</f>
        <v>0</v>
      </c>
      <c r="AC101" s="32">
        <f>IF(AQ101="1",BI101,0)</f>
        <v>0</v>
      </c>
      <c r="AD101" s="32">
        <f>IF(AQ101="7",BH101,0)</f>
        <v>0</v>
      </c>
      <c r="AE101" s="32">
        <f>IF(AQ101="7",BI101,0)</f>
        <v>0</v>
      </c>
      <c r="AF101" s="32">
        <f>IF(AQ101="2",BH101,0)</f>
        <v>0</v>
      </c>
      <c r="AG101" s="32">
        <f>IF(AQ101="2",BI101,0)</f>
        <v>0</v>
      </c>
      <c r="AH101" s="32">
        <f>IF(AQ101="0",BJ101,0)</f>
        <v>0</v>
      </c>
      <c r="AI101" s="28"/>
      <c r="AJ101" s="15">
        <f>IF(AN101=0,K101,0)</f>
        <v>0</v>
      </c>
      <c r="AK101" s="15">
        <f>IF(AN101=15,K101,0)</f>
        <v>0</v>
      </c>
      <c r="AL101" s="15">
        <f>IF(AN101=21,K101,0)</f>
        <v>0</v>
      </c>
      <c r="AN101" s="32">
        <v>21</v>
      </c>
      <c r="AO101" s="32">
        <f>H101*0.54313951821121</f>
        <v>0</v>
      </c>
      <c r="AP101" s="32">
        <f>H101*(1-0.54313951821121)</f>
        <v>0</v>
      </c>
      <c r="AQ101" s="27" t="s">
        <v>7</v>
      </c>
      <c r="AV101" s="32">
        <f>AW101+AX101</f>
        <v>0</v>
      </c>
      <c r="AW101" s="32">
        <f>G101*AO101</f>
        <v>0</v>
      </c>
      <c r="AX101" s="32">
        <f>G101*AP101</f>
        <v>0</v>
      </c>
      <c r="AY101" s="33" t="s">
        <v>866</v>
      </c>
      <c r="AZ101" s="33" t="s">
        <v>889</v>
      </c>
      <c r="BA101" s="28" t="s">
        <v>895</v>
      </c>
      <c r="BC101" s="32">
        <f>AW101+AX101</f>
        <v>0</v>
      </c>
      <c r="BD101" s="32">
        <f>H101/(100-BE101)*100</f>
        <v>0</v>
      </c>
      <c r="BE101" s="32">
        <v>0</v>
      </c>
      <c r="BF101" s="32">
        <f>99</f>
        <v>99</v>
      </c>
      <c r="BH101" s="15">
        <f>G101*AO101</f>
        <v>0</v>
      </c>
      <c r="BI101" s="15">
        <f>G101*AP101</f>
        <v>0</v>
      </c>
      <c r="BJ101" s="15">
        <f>G101*H101</f>
        <v>0</v>
      </c>
    </row>
    <row r="102" spans="1:62" x14ac:dyDescent="0.2">
      <c r="C102" s="58" t="s">
        <v>434</v>
      </c>
      <c r="D102" s="59"/>
      <c r="E102" s="59"/>
      <c r="G102" s="16">
        <v>40.950000000000003</v>
      </c>
    </row>
    <row r="103" spans="1:62" x14ac:dyDescent="0.2">
      <c r="A103" s="4" t="s">
        <v>32</v>
      </c>
      <c r="B103" s="4" t="s">
        <v>194</v>
      </c>
      <c r="C103" s="56" t="s">
        <v>435</v>
      </c>
      <c r="D103" s="57"/>
      <c r="E103" s="57"/>
      <c r="F103" s="4" t="s">
        <v>826</v>
      </c>
      <c r="G103" s="15">
        <v>429.1</v>
      </c>
      <c r="H103" s="15">
        <v>0</v>
      </c>
      <c r="I103" s="15">
        <f>G103*AO103</f>
        <v>0</v>
      </c>
      <c r="J103" s="15">
        <f>G103*AP103</f>
        <v>0</v>
      </c>
      <c r="K103" s="15">
        <f>G103*H103</f>
        <v>0</v>
      </c>
      <c r="L103" s="27" t="s">
        <v>846</v>
      </c>
      <c r="Z103" s="32">
        <f>IF(AQ103="5",BJ103,0)</f>
        <v>0</v>
      </c>
      <c r="AB103" s="32">
        <f>IF(AQ103="1",BH103,0)</f>
        <v>0</v>
      </c>
      <c r="AC103" s="32">
        <f>IF(AQ103="1",BI103,0)</f>
        <v>0</v>
      </c>
      <c r="AD103" s="32">
        <f>IF(AQ103="7",BH103,0)</f>
        <v>0</v>
      </c>
      <c r="AE103" s="32">
        <f>IF(AQ103="7",BI103,0)</f>
        <v>0</v>
      </c>
      <c r="AF103" s="32">
        <f>IF(AQ103="2",BH103,0)</f>
        <v>0</v>
      </c>
      <c r="AG103" s="32">
        <f>IF(AQ103="2",BI103,0)</f>
        <v>0</v>
      </c>
      <c r="AH103" s="32">
        <f>IF(AQ103="0",BJ103,0)</f>
        <v>0</v>
      </c>
      <c r="AI103" s="28"/>
      <c r="AJ103" s="15">
        <f>IF(AN103=0,K103,0)</f>
        <v>0</v>
      </c>
      <c r="AK103" s="15">
        <f>IF(AN103=15,K103,0)</f>
        <v>0</v>
      </c>
      <c r="AL103" s="15">
        <f>IF(AN103=21,K103,0)</f>
        <v>0</v>
      </c>
      <c r="AN103" s="32">
        <v>21</v>
      </c>
      <c r="AO103" s="32">
        <f>H103*0</f>
        <v>0</v>
      </c>
      <c r="AP103" s="32">
        <f>H103*(1-0)</f>
        <v>0</v>
      </c>
      <c r="AQ103" s="27" t="s">
        <v>7</v>
      </c>
      <c r="AV103" s="32">
        <f>AW103+AX103</f>
        <v>0</v>
      </c>
      <c r="AW103" s="32">
        <f>G103*AO103</f>
        <v>0</v>
      </c>
      <c r="AX103" s="32">
        <f>G103*AP103</f>
        <v>0</v>
      </c>
      <c r="AY103" s="33" t="s">
        <v>866</v>
      </c>
      <c r="AZ103" s="33" t="s">
        <v>889</v>
      </c>
      <c r="BA103" s="28" t="s">
        <v>895</v>
      </c>
      <c r="BC103" s="32">
        <f>AW103+AX103</f>
        <v>0</v>
      </c>
      <c r="BD103" s="32">
        <f>H103/(100-BE103)*100</f>
        <v>0</v>
      </c>
      <c r="BE103" s="32">
        <v>0</v>
      </c>
      <c r="BF103" s="32">
        <f>101</f>
        <v>101</v>
      </c>
      <c r="BH103" s="15">
        <f>G103*AO103</f>
        <v>0</v>
      </c>
      <c r="BI103" s="15">
        <f>G103*AP103</f>
        <v>0</v>
      </c>
      <c r="BJ103" s="15">
        <f>G103*H103</f>
        <v>0</v>
      </c>
    </row>
    <row r="104" spans="1:62" x14ac:dyDescent="0.2">
      <c r="C104" s="58" t="s">
        <v>436</v>
      </c>
      <c r="D104" s="59"/>
      <c r="E104" s="59"/>
      <c r="G104" s="16">
        <v>214.1</v>
      </c>
    </row>
    <row r="105" spans="1:62" x14ac:dyDescent="0.2">
      <c r="C105" s="58" t="s">
        <v>437</v>
      </c>
      <c r="D105" s="59"/>
      <c r="E105" s="59"/>
      <c r="G105" s="16">
        <v>215</v>
      </c>
    </row>
    <row r="106" spans="1:62" x14ac:dyDescent="0.2">
      <c r="A106" s="6" t="s">
        <v>33</v>
      </c>
      <c r="B106" s="6" t="s">
        <v>195</v>
      </c>
      <c r="C106" s="68" t="s">
        <v>438</v>
      </c>
      <c r="D106" s="69"/>
      <c r="E106" s="69"/>
      <c r="F106" s="6" t="s">
        <v>826</v>
      </c>
      <c r="G106" s="17">
        <v>214.9</v>
      </c>
      <c r="H106" s="17">
        <v>0</v>
      </c>
      <c r="I106" s="17">
        <f>G106*AO106</f>
        <v>0</v>
      </c>
      <c r="J106" s="17">
        <f>G106*AP106</f>
        <v>0</v>
      </c>
      <c r="K106" s="17">
        <f>G106*H106</f>
        <v>0</v>
      </c>
      <c r="L106" s="29" t="s">
        <v>846</v>
      </c>
      <c r="Z106" s="32">
        <f>IF(AQ106="5",BJ106,0)</f>
        <v>0</v>
      </c>
      <c r="AB106" s="32">
        <f>IF(AQ106="1",BH106,0)</f>
        <v>0</v>
      </c>
      <c r="AC106" s="32">
        <f>IF(AQ106="1",BI106,0)</f>
        <v>0</v>
      </c>
      <c r="AD106" s="32">
        <f>IF(AQ106="7",BH106,0)</f>
        <v>0</v>
      </c>
      <c r="AE106" s="32">
        <f>IF(AQ106="7",BI106,0)</f>
        <v>0</v>
      </c>
      <c r="AF106" s="32">
        <f>IF(AQ106="2",BH106,0)</f>
        <v>0</v>
      </c>
      <c r="AG106" s="32">
        <f>IF(AQ106="2",BI106,0)</f>
        <v>0</v>
      </c>
      <c r="AH106" s="32">
        <f>IF(AQ106="0",BJ106,0)</f>
        <v>0</v>
      </c>
      <c r="AI106" s="28"/>
      <c r="AJ106" s="17">
        <f>IF(AN106=0,K106,0)</f>
        <v>0</v>
      </c>
      <c r="AK106" s="17">
        <f>IF(AN106=15,K106,0)</f>
        <v>0</v>
      </c>
      <c r="AL106" s="17">
        <f>IF(AN106=21,K106,0)</f>
        <v>0</v>
      </c>
      <c r="AN106" s="32">
        <v>21</v>
      </c>
      <c r="AO106" s="32">
        <f>H106*1</f>
        <v>0</v>
      </c>
      <c r="AP106" s="32">
        <f>H106*(1-1)</f>
        <v>0</v>
      </c>
      <c r="AQ106" s="29" t="s">
        <v>7</v>
      </c>
      <c r="AV106" s="32">
        <f>AW106+AX106</f>
        <v>0</v>
      </c>
      <c r="AW106" s="32">
        <f>G106*AO106</f>
        <v>0</v>
      </c>
      <c r="AX106" s="32">
        <f>G106*AP106</f>
        <v>0</v>
      </c>
      <c r="AY106" s="33" t="s">
        <v>866</v>
      </c>
      <c r="AZ106" s="33" t="s">
        <v>889</v>
      </c>
      <c r="BA106" s="28" t="s">
        <v>895</v>
      </c>
      <c r="BC106" s="32">
        <f>AW106+AX106</f>
        <v>0</v>
      </c>
      <c r="BD106" s="32">
        <f>H106/(100-BE106)*100</f>
        <v>0</v>
      </c>
      <c r="BE106" s="32">
        <v>0</v>
      </c>
      <c r="BF106" s="32">
        <f>104</f>
        <v>104</v>
      </c>
      <c r="BH106" s="17">
        <f>G106*AO106</f>
        <v>0</v>
      </c>
      <c r="BI106" s="17">
        <f>G106*AP106</f>
        <v>0</v>
      </c>
      <c r="BJ106" s="17">
        <f>G106*H106</f>
        <v>0</v>
      </c>
    </row>
    <row r="107" spans="1:62" x14ac:dyDescent="0.2">
      <c r="C107" s="58" t="s">
        <v>439</v>
      </c>
      <c r="D107" s="59"/>
      <c r="E107" s="59"/>
      <c r="G107" s="16">
        <v>77</v>
      </c>
    </row>
    <row r="108" spans="1:62" x14ac:dyDescent="0.2">
      <c r="C108" s="58" t="s">
        <v>440</v>
      </c>
      <c r="D108" s="59"/>
      <c r="E108" s="59"/>
      <c r="G108" s="16">
        <v>16.8</v>
      </c>
    </row>
    <row r="109" spans="1:62" x14ac:dyDescent="0.2">
      <c r="C109" s="58" t="s">
        <v>441</v>
      </c>
      <c r="D109" s="59"/>
      <c r="E109" s="59"/>
      <c r="G109" s="16">
        <v>96</v>
      </c>
    </row>
    <row r="110" spans="1:62" x14ac:dyDescent="0.2">
      <c r="C110" s="58" t="s">
        <v>442</v>
      </c>
      <c r="D110" s="59"/>
      <c r="E110" s="59"/>
      <c r="G110" s="16">
        <v>25.1</v>
      </c>
    </row>
    <row r="111" spans="1:62" x14ac:dyDescent="0.2">
      <c r="A111" s="6" t="s">
        <v>34</v>
      </c>
      <c r="B111" s="6" t="s">
        <v>196</v>
      </c>
      <c r="C111" s="68" t="s">
        <v>443</v>
      </c>
      <c r="D111" s="69"/>
      <c r="E111" s="69"/>
      <c r="F111" s="6" t="s">
        <v>826</v>
      </c>
      <c r="G111" s="17">
        <v>215</v>
      </c>
      <c r="H111" s="17">
        <v>0</v>
      </c>
      <c r="I111" s="17">
        <f>G111*AO111</f>
        <v>0</v>
      </c>
      <c r="J111" s="17">
        <f>G111*AP111</f>
        <v>0</v>
      </c>
      <c r="K111" s="17">
        <f>G111*H111</f>
        <v>0</v>
      </c>
      <c r="L111" s="29" t="s">
        <v>846</v>
      </c>
      <c r="Z111" s="32">
        <f>IF(AQ111="5",BJ111,0)</f>
        <v>0</v>
      </c>
      <c r="AB111" s="32">
        <f>IF(AQ111="1",BH111,0)</f>
        <v>0</v>
      </c>
      <c r="AC111" s="32">
        <f>IF(AQ111="1",BI111,0)</f>
        <v>0</v>
      </c>
      <c r="AD111" s="32">
        <f>IF(AQ111="7",BH111,0)</f>
        <v>0</v>
      </c>
      <c r="AE111" s="32">
        <f>IF(AQ111="7",BI111,0)</f>
        <v>0</v>
      </c>
      <c r="AF111" s="32">
        <f>IF(AQ111="2",BH111,0)</f>
        <v>0</v>
      </c>
      <c r="AG111" s="32">
        <f>IF(AQ111="2",BI111,0)</f>
        <v>0</v>
      </c>
      <c r="AH111" s="32">
        <f>IF(AQ111="0",BJ111,0)</f>
        <v>0</v>
      </c>
      <c r="AI111" s="28"/>
      <c r="AJ111" s="17">
        <f>IF(AN111=0,K111,0)</f>
        <v>0</v>
      </c>
      <c r="AK111" s="17">
        <f>IF(AN111=15,K111,0)</f>
        <v>0</v>
      </c>
      <c r="AL111" s="17">
        <f>IF(AN111=21,K111,0)</f>
        <v>0</v>
      </c>
      <c r="AN111" s="32">
        <v>21</v>
      </c>
      <c r="AO111" s="32">
        <f>H111*1</f>
        <v>0</v>
      </c>
      <c r="AP111" s="32">
        <f>H111*(1-1)</f>
        <v>0</v>
      </c>
      <c r="AQ111" s="29" t="s">
        <v>7</v>
      </c>
      <c r="AV111" s="32">
        <f>AW111+AX111</f>
        <v>0</v>
      </c>
      <c r="AW111" s="32">
        <f>G111*AO111</f>
        <v>0</v>
      </c>
      <c r="AX111" s="32">
        <f>G111*AP111</f>
        <v>0</v>
      </c>
      <c r="AY111" s="33" t="s">
        <v>866</v>
      </c>
      <c r="AZ111" s="33" t="s">
        <v>889</v>
      </c>
      <c r="BA111" s="28" t="s">
        <v>895</v>
      </c>
      <c r="BC111" s="32">
        <f>AW111+AX111</f>
        <v>0</v>
      </c>
      <c r="BD111" s="32">
        <f>H111/(100-BE111)*100</f>
        <v>0</v>
      </c>
      <c r="BE111" s="32">
        <v>0</v>
      </c>
      <c r="BF111" s="32">
        <f>109</f>
        <v>109</v>
      </c>
      <c r="BH111" s="17">
        <f>G111*AO111</f>
        <v>0</v>
      </c>
      <c r="BI111" s="17">
        <f>G111*AP111</f>
        <v>0</v>
      </c>
      <c r="BJ111" s="17">
        <f>G111*H111</f>
        <v>0</v>
      </c>
    </row>
    <row r="112" spans="1:62" x14ac:dyDescent="0.2">
      <c r="C112" s="58" t="s">
        <v>444</v>
      </c>
      <c r="D112" s="59"/>
      <c r="E112" s="59"/>
      <c r="G112" s="16">
        <v>215</v>
      </c>
    </row>
    <row r="113" spans="1:62" x14ac:dyDescent="0.2">
      <c r="A113" s="4" t="s">
        <v>35</v>
      </c>
      <c r="B113" s="4" t="s">
        <v>197</v>
      </c>
      <c r="C113" s="56" t="s">
        <v>445</v>
      </c>
      <c r="D113" s="57"/>
      <c r="E113" s="57"/>
      <c r="F113" s="4" t="s">
        <v>826</v>
      </c>
      <c r="G113" s="15">
        <v>510.34</v>
      </c>
      <c r="H113" s="15">
        <v>0</v>
      </c>
      <c r="I113" s="15">
        <f>G113*AO113</f>
        <v>0</v>
      </c>
      <c r="J113" s="15">
        <f>G113*AP113</f>
        <v>0</v>
      </c>
      <c r="K113" s="15">
        <f>G113*H113</f>
        <v>0</v>
      </c>
      <c r="L113" s="27" t="s">
        <v>846</v>
      </c>
      <c r="Z113" s="32">
        <f>IF(AQ113="5",BJ113,0)</f>
        <v>0</v>
      </c>
      <c r="AB113" s="32">
        <f>IF(AQ113="1",BH113,0)</f>
        <v>0</v>
      </c>
      <c r="AC113" s="32">
        <f>IF(AQ113="1",BI113,0)</f>
        <v>0</v>
      </c>
      <c r="AD113" s="32">
        <f>IF(AQ113="7",BH113,0)</f>
        <v>0</v>
      </c>
      <c r="AE113" s="32">
        <f>IF(AQ113="7",BI113,0)</f>
        <v>0</v>
      </c>
      <c r="AF113" s="32">
        <f>IF(AQ113="2",BH113,0)</f>
        <v>0</v>
      </c>
      <c r="AG113" s="32">
        <f>IF(AQ113="2",BI113,0)</f>
        <v>0</v>
      </c>
      <c r="AH113" s="32">
        <f>IF(AQ113="0",BJ113,0)</f>
        <v>0</v>
      </c>
      <c r="AI113" s="28"/>
      <c r="AJ113" s="15">
        <f>IF(AN113=0,K113,0)</f>
        <v>0</v>
      </c>
      <c r="AK113" s="15">
        <f>IF(AN113=15,K113,0)</f>
        <v>0</v>
      </c>
      <c r="AL113" s="15">
        <f>IF(AN113=21,K113,0)</f>
        <v>0</v>
      </c>
      <c r="AN113" s="32">
        <v>21</v>
      </c>
      <c r="AO113" s="32">
        <f>H113*0</f>
        <v>0</v>
      </c>
      <c r="AP113" s="32">
        <f>H113*(1-0)</f>
        <v>0</v>
      </c>
      <c r="AQ113" s="27" t="s">
        <v>7</v>
      </c>
      <c r="AV113" s="32">
        <f>AW113+AX113</f>
        <v>0</v>
      </c>
      <c r="AW113" s="32">
        <f>G113*AO113</f>
        <v>0</v>
      </c>
      <c r="AX113" s="32">
        <f>G113*AP113</f>
        <v>0</v>
      </c>
      <c r="AY113" s="33" t="s">
        <v>866</v>
      </c>
      <c r="AZ113" s="33" t="s">
        <v>889</v>
      </c>
      <c r="BA113" s="28" t="s">
        <v>895</v>
      </c>
      <c r="BC113" s="32">
        <f>AW113+AX113</f>
        <v>0</v>
      </c>
      <c r="BD113" s="32">
        <f>H113/(100-BE113)*100</f>
        <v>0</v>
      </c>
      <c r="BE113" s="32">
        <v>0</v>
      </c>
      <c r="BF113" s="32">
        <f>111</f>
        <v>111</v>
      </c>
      <c r="BH113" s="15">
        <f>G113*AO113</f>
        <v>0</v>
      </c>
      <c r="BI113" s="15">
        <f>G113*AP113</f>
        <v>0</v>
      </c>
      <c r="BJ113" s="15">
        <f>G113*H113</f>
        <v>0</v>
      </c>
    </row>
    <row r="114" spans="1:62" x14ac:dyDescent="0.2">
      <c r="C114" s="58" t="s">
        <v>446</v>
      </c>
      <c r="D114" s="59"/>
      <c r="E114" s="59"/>
      <c r="G114" s="16">
        <v>510.34</v>
      </c>
    </row>
    <row r="115" spans="1:62" x14ac:dyDescent="0.2">
      <c r="A115" s="6" t="s">
        <v>36</v>
      </c>
      <c r="B115" s="6" t="s">
        <v>198</v>
      </c>
      <c r="C115" s="68" t="s">
        <v>447</v>
      </c>
      <c r="D115" s="69"/>
      <c r="E115" s="69"/>
      <c r="F115" s="6" t="s">
        <v>826</v>
      </c>
      <c r="G115" s="17">
        <v>510.34</v>
      </c>
      <c r="H115" s="17">
        <v>0</v>
      </c>
      <c r="I115" s="17">
        <f>G115*AO115</f>
        <v>0</v>
      </c>
      <c r="J115" s="17">
        <f>G115*AP115</f>
        <v>0</v>
      </c>
      <c r="K115" s="17">
        <f>G115*H115</f>
        <v>0</v>
      </c>
      <c r="L115" s="29" t="s">
        <v>846</v>
      </c>
      <c r="Z115" s="32">
        <f>IF(AQ115="5",BJ115,0)</f>
        <v>0</v>
      </c>
      <c r="AB115" s="32">
        <f>IF(AQ115="1",BH115,0)</f>
        <v>0</v>
      </c>
      <c r="AC115" s="32">
        <f>IF(AQ115="1",BI115,0)</f>
        <v>0</v>
      </c>
      <c r="AD115" s="32">
        <f>IF(AQ115="7",BH115,0)</f>
        <v>0</v>
      </c>
      <c r="AE115" s="32">
        <f>IF(AQ115="7",BI115,0)</f>
        <v>0</v>
      </c>
      <c r="AF115" s="32">
        <f>IF(AQ115="2",BH115,0)</f>
        <v>0</v>
      </c>
      <c r="AG115" s="32">
        <f>IF(AQ115="2",BI115,0)</f>
        <v>0</v>
      </c>
      <c r="AH115" s="32">
        <f>IF(AQ115="0",BJ115,0)</f>
        <v>0</v>
      </c>
      <c r="AI115" s="28"/>
      <c r="AJ115" s="17">
        <f>IF(AN115=0,K115,0)</f>
        <v>0</v>
      </c>
      <c r="AK115" s="17">
        <f>IF(AN115=15,K115,0)</f>
        <v>0</v>
      </c>
      <c r="AL115" s="17">
        <f>IF(AN115=21,K115,0)</f>
        <v>0</v>
      </c>
      <c r="AN115" s="32">
        <v>21</v>
      </c>
      <c r="AO115" s="32">
        <f>H115*1</f>
        <v>0</v>
      </c>
      <c r="AP115" s="32">
        <f>H115*(1-1)</f>
        <v>0</v>
      </c>
      <c r="AQ115" s="29" t="s">
        <v>7</v>
      </c>
      <c r="AV115" s="32">
        <f>AW115+AX115</f>
        <v>0</v>
      </c>
      <c r="AW115" s="32">
        <f>G115*AO115</f>
        <v>0</v>
      </c>
      <c r="AX115" s="32">
        <f>G115*AP115</f>
        <v>0</v>
      </c>
      <c r="AY115" s="33" t="s">
        <v>866</v>
      </c>
      <c r="AZ115" s="33" t="s">
        <v>889</v>
      </c>
      <c r="BA115" s="28" t="s">
        <v>895</v>
      </c>
      <c r="BC115" s="32">
        <f>AW115+AX115</f>
        <v>0</v>
      </c>
      <c r="BD115" s="32">
        <f>H115/(100-BE115)*100</f>
        <v>0</v>
      </c>
      <c r="BE115" s="32">
        <v>0</v>
      </c>
      <c r="BF115" s="32">
        <f>113</f>
        <v>113</v>
      </c>
      <c r="BH115" s="17">
        <f>G115*AO115</f>
        <v>0</v>
      </c>
      <c r="BI115" s="17">
        <f>G115*AP115</f>
        <v>0</v>
      </c>
      <c r="BJ115" s="17">
        <f>G115*H115</f>
        <v>0</v>
      </c>
    </row>
    <row r="116" spans="1:62" x14ac:dyDescent="0.2">
      <c r="C116" s="58" t="s">
        <v>448</v>
      </c>
      <c r="D116" s="59"/>
      <c r="E116" s="59"/>
      <c r="G116" s="16">
        <v>206.74</v>
      </c>
    </row>
    <row r="117" spans="1:62" x14ac:dyDescent="0.2">
      <c r="C117" s="58" t="s">
        <v>449</v>
      </c>
      <c r="D117" s="59"/>
      <c r="E117" s="59"/>
      <c r="G117" s="16">
        <v>45</v>
      </c>
    </row>
    <row r="118" spans="1:62" x14ac:dyDescent="0.2">
      <c r="C118" s="58" t="s">
        <v>450</v>
      </c>
      <c r="D118" s="59"/>
      <c r="E118" s="59"/>
      <c r="G118" s="16">
        <v>153.6</v>
      </c>
    </row>
    <row r="119" spans="1:62" x14ac:dyDescent="0.2">
      <c r="C119" s="58" t="s">
        <v>451</v>
      </c>
      <c r="D119" s="59"/>
      <c r="E119" s="59"/>
      <c r="G119" s="16">
        <v>45.6</v>
      </c>
    </row>
    <row r="120" spans="1:62" x14ac:dyDescent="0.2">
      <c r="C120" s="58" t="s">
        <v>452</v>
      </c>
      <c r="D120" s="59"/>
      <c r="E120" s="59"/>
      <c r="G120" s="16">
        <v>59.4</v>
      </c>
    </row>
    <row r="121" spans="1:62" x14ac:dyDescent="0.2">
      <c r="A121" s="4" t="s">
        <v>37</v>
      </c>
      <c r="B121" s="4" t="s">
        <v>199</v>
      </c>
      <c r="C121" s="56" t="s">
        <v>453</v>
      </c>
      <c r="D121" s="57"/>
      <c r="E121" s="57"/>
      <c r="F121" s="4" t="s">
        <v>826</v>
      </c>
      <c r="G121" s="15">
        <v>725.24</v>
      </c>
      <c r="H121" s="15">
        <v>0</v>
      </c>
      <c r="I121" s="15">
        <f>G121*AO121</f>
        <v>0</v>
      </c>
      <c r="J121" s="15">
        <f>G121*AP121</f>
        <v>0</v>
      </c>
      <c r="K121" s="15">
        <f>G121*H121</f>
        <v>0</v>
      </c>
      <c r="L121" s="27" t="s">
        <v>846</v>
      </c>
      <c r="Z121" s="32">
        <f>IF(AQ121="5",BJ121,0)</f>
        <v>0</v>
      </c>
      <c r="AB121" s="32">
        <f>IF(AQ121="1",BH121,0)</f>
        <v>0</v>
      </c>
      <c r="AC121" s="32">
        <f>IF(AQ121="1",BI121,0)</f>
        <v>0</v>
      </c>
      <c r="AD121" s="32">
        <f>IF(AQ121="7",BH121,0)</f>
        <v>0</v>
      </c>
      <c r="AE121" s="32">
        <f>IF(AQ121="7",BI121,0)</f>
        <v>0</v>
      </c>
      <c r="AF121" s="32">
        <f>IF(AQ121="2",BH121,0)</f>
        <v>0</v>
      </c>
      <c r="AG121" s="32">
        <f>IF(AQ121="2",BI121,0)</f>
        <v>0</v>
      </c>
      <c r="AH121" s="32">
        <f>IF(AQ121="0",BJ121,0)</f>
        <v>0</v>
      </c>
      <c r="AI121" s="28"/>
      <c r="AJ121" s="15">
        <f>IF(AN121=0,K121,0)</f>
        <v>0</v>
      </c>
      <c r="AK121" s="15">
        <f>IF(AN121=15,K121,0)</f>
        <v>0</v>
      </c>
      <c r="AL121" s="15">
        <f>IF(AN121=21,K121,0)</f>
        <v>0</v>
      </c>
      <c r="AN121" s="32">
        <v>21</v>
      </c>
      <c r="AO121" s="32">
        <f>H121*0.423800428741564</f>
        <v>0</v>
      </c>
      <c r="AP121" s="32">
        <f>H121*(1-0.423800428741564)</f>
        <v>0</v>
      </c>
      <c r="AQ121" s="27" t="s">
        <v>7</v>
      </c>
      <c r="AV121" s="32">
        <f>AW121+AX121</f>
        <v>0</v>
      </c>
      <c r="AW121" s="32">
        <f>G121*AO121</f>
        <v>0</v>
      </c>
      <c r="AX121" s="32">
        <f>G121*AP121</f>
        <v>0</v>
      </c>
      <c r="AY121" s="33" t="s">
        <v>866</v>
      </c>
      <c r="AZ121" s="33" t="s">
        <v>889</v>
      </c>
      <c r="BA121" s="28" t="s">
        <v>895</v>
      </c>
      <c r="BC121" s="32">
        <f>AW121+AX121</f>
        <v>0</v>
      </c>
      <c r="BD121" s="32">
        <f>H121/(100-BE121)*100</f>
        <v>0</v>
      </c>
      <c r="BE121" s="32">
        <v>0</v>
      </c>
      <c r="BF121" s="32">
        <f>119</f>
        <v>119</v>
      </c>
      <c r="BH121" s="15">
        <f>G121*AO121</f>
        <v>0</v>
      </c>
      <c r="BI121" s="15">
        <f>G121*AP121</f>
        <v>0</v>
      </c>
      <c r="BJ121" s="15">
        <f>G121*H121</f>
        <v>0</v>
      </c>
    </row>
    <row r="122" spans="1:62" x14ac:dyDescent="0.2">
      <c r="C122" s="58" t="s">
        <v>454</v>
      </c>
      <c r="D122" s="59"/>
      <c r="E122" s="59"/>
      <c r="G122" s="16">
        <v>214.9</v>
      </c>
    </row>
    <row r="123" spans="1:62" x14ac:dyDescent="0.2">
      <c r="C123" s="58" t="s">
        <v>455</v>
      </c>
      <c r="D123" s="59"/>
      <c r="E123" s="59"/>
      <c r="G123" s="16">
        <v>510.34</v>
      </c>
    </row>
    <row r="124" spans="1:62" x14ac:dyDescent="0.2">
      <c r="A124" s="4" t="s">
        <v>38</v>
      </c>
      <c r="B124" s="4" t="s">
        <v>200</v>
      </c>
      <c r="C124" s="56" t="s">
        <v>456</v>
      </c>
      <c r="D124" s="57"/>
      <c r="E124" s="57"/>
      <c r="F124" s="4" t="s">
        <v>823</v>
      </c>
      <c r="G124" s="15">
        <v>1174.75</v>
      </c>
      <c r="H124" s="15">
        <v>0</v>
      </c>
      <c r="I124" s="15">
        <f>G124*AO124</f>
        <v>0</v>
      </c>
      <c r="J124" s="15">
        <f>G124*AP124</f>
        <v>0</v>
      </c>
      <c r="K124" s="15">
        <f>G124*H124</f>
        <v>0</v>
      </c>
      <c r="L124" s="27" t="s">
        <v>846</v>
      </c>
      <c r="Z124" s="32">
        <f>IF(AQ124="5",BJ124,0)</f>
        <v>0</v>
      </c>
      <c r="AB124" s="32">
        <f>IF(AQ124="1",BH124,0)</f>
        <v>0</v>
      </c>
      <c r="AC124" s="32">
        <f>IF(AQ124="1",BI124,0)</f>
        <v>0</v>
      </c>
      <c r="AD124" s="32">
        <f>IF(AQ124="7",BH124,0)</f>
        <v>0</v>
      </c>
      <c r="AE124" s="32">
        <f>IF(AQ124="7",BI124,0)</f>
        <v>0</v>
      </c>
      <c r="AF124" s="32">
        <f>IF(AQ124="2",BH124,0)</f>
        <v>0</v>
      </c>
      <c r="AG124" s="32">
        <f>IF(AQ124="2",BI124,0)</f>
        <v>0</v>
      </c>
      <c r="AH124" s="32">
        <f>IF(AQ124="0",BJ124,0)</f>
        <v>0</v>
      </c>
      <c r="AI124" s="28"/>
      <c r="AJ124" s="15">
        <f>IF(AN124=0,K124,0)</f>
        <v>0</v>
      </c>
      <c r="AK124" s="15">
        <f>IF(AN124=15,K124,0)</f>
        <v>0</v>
      </c>
      <c r="AL124" s="15">
        <f>IF(AN124=21,K124,0)</f>
        <v>0</v>
      </c>
      <c r="AN124" s="32">
        <v>21</v>
      </c>
      <c r="AO124" s="32">
        <f>H124*0.0678321678321678</f>
        <v>0</v>
      </c>
      <c r="AP124" s="32">
        <f>H124*(1-0.0678321678321678)</f>
        <v>0</v>
      </c>
      <c r="AQ124" s="27" t="s">
        <v>7</v>
      </c>
      <c r="AV124" s="32">
        <f>AW124+AX124</f>
        <v>0</v>
      </c>
      <c r="AW124" s="32">
        <f>G124*AO124</f>
        <v>0</v>
      </c>
      <c r="AX124" s="32">
        <f>G124*AP124</f>
        <v>0</v>
      </c>
      <c r="AY124" s="33" t="s">
        <v>866</v>
      </c>
      <c r="AZ124" s="33" t="s">
        <v>889</v>
      </c>
      <c r="BA124" s="28" t="s">
        <v>895</v>
      </c>
      <c r="BC124" s="32">
        <f>AW124+AX124</f>
        <v>0</v>
      </c>
      <c r="BD124" s="32">
        <f>H124/(100-BE124)*100</f>
        <v>0</v>
      </c>
      <c r="BE124" s="32">
        <v>0</v>
      </c>
      <c r="BF124" s="32">
        <f>122</f>
        <v>122</v>
      </c>
      <c r="BH124" s="15">
        <f>G124*AO124</f>
        <v>0</v>
      </c>
      <c r="BI124" s="15">
        <f>G124*AP124</f>
        <v>0</v>
      </c>
      <c r="BJ124" s="15">
        <f>G124*H124</f>
        <v>0</v>
      </c>
    </row>
    <row r="125" spans="1:62" x14ac:dyDescent="0.2">
      <c r="C125" s="58" t="s">
        <v>457</v>
      </c>
      <c r="D125" s="59"/>
      <c r="E125" s="59"/>
      <c r="G125" s="16">
        <v>40.950000000000003</v>
      </c>
    </row>
    <row r="126" spans="1:62" x14ac:dyDescent="0.2">
      <c r="C126" s="58" t="s">
        <v>458</v>
      </c>
      <c r="D126" s="59"/>
      <c r="E126" s="59"/>
      <c r="G126" s="16">
        <v>1133.8</v>
      </c>
    </row>
    <row r="127" spans="1:62" x14ac:dyDescent="0.2">
      <c r="A127" s="4" t="s">
        <v>39</v>
      </c>
      <c r="B127" s="4" t="s">
        <v>201</v>
      </c>
      <c r="C127" s="56" t="s">
        <v>459</v>
      </c>
      <c r="D127" s="57"/>
      <c r="E127" s="57"/>
      <c r="F127" s="4" t="s">
        <v>826</v>
      </c>
      <c r="G127" s="15">
        <v>176.8</v>
      </c>
      <c r="H127" s="15">
        <v>0</v>
      </c>
      <c r="I127" s="15">
        <f>G127*AO127</f>
        <v>0</v>
      </c>
      <c r="J127" s="15">
        <f>G127*AP127</f>
        <v>0</v>
      </c>
      <c r="K127" s="15">
        <f>G127*H127</f>
        <v>0</v>
      </c>
      <c r="L127" s="27" t="s">
        <v>846</v>
      </c>
      <c r="Z127" s="32">
        <f>IF(AQ127="5",BJ127,0)</f>
        <v>0</v>
      </c>
      <c r="AB127" s="32">
        <f>IF(AQ127="1",BH127,0)</f>
        <v>0</v>
      </c>
      <c r="AC127" s="32">
        <f>IF(AQ127="1",BI127,0)</f>
        <v>0</v>
      </c>
      <c r="AD127" s="32">
        <f>IF(AQ127="7",BH127,0)</f>
        <v>0</v>
      </c>
      <c r="AE127" s="32">
        <f>IF(AQ127="7",BI127,0)</f>
        <v>0</v>
      </c>
      <c r="AF127" s="32">
        <f>IF(AQ127="2",BH127,0)</f>
        <v>0</v>
      </c>
      <c r="AG127" s="32">
        <f>IF(AQ127="2",BI127,0)</f>
        <v>0</v>
      </c>
      <c r="AH127" s="32">
        <f>IF(AQ127="0",BJ127,0)</f>
        <v>0</v>
      </c>
      <c r="AI127" s="28"/>
      <c r="AJ127" s="15">
        <f>IF(AN127=0,K127,0)</f>
        <v>0</v>
      </c>
      <c r="AK127" s="15">
        <f>IF(AN127=15,K127,0)</f>
        <v>0</v>
      </c>
      <c r="AL127" s="15">
        <f>IF(AN127=21,K127,0)</f>
        <v>0</v>
      </c>
      <c r="AN127" s="32">
        <v>21</v>
      </c>
      <c r="AO127" s="32">
        <f>H127*0.1</f>
        <v>0</v>
      </c>
      <c r="AP127" s="32">
        <f>H127*(1-0.1)</f>
        <v>0</v>
      </c>
      <c r="AQ127" s="27" t="s">
        <v>7</v>
      </c>
      <c r="AV127" s="32">
        <f>AW127+AX127</f>
        <v>0</v>
      </c>
      <c r="AW127" s="32">
        <f>G127*AO127</f>
        <v>0</v>
      </c>
      <c r="AX127" s="32">
        <f>G127*AP127</f>
        <v>0</v>
      </c>
      <c r="AY127" s="33" t="s">
        <v>866</v>
      </c>
      <c r="AZ127" s="33" t="s">
        <v>889</v>
      </c>
      <c r="BA127" s="28" t="s">
        <v>895</v>
      </c>
      <c r="BC127" s="32">
        <f>AW127+AX127</f>
        <v>0</v>
      </c>
      <c r="BD127" s="32">
        <f>H127/(100-BE127)*100</f>
        <v>0</v>
      </c>
      <c r="BE127" s="32">
        <v>0</v>
      </c>
      <c r="BF127" s="32">
        <f>125</f>
        <v>125</v>
      </c>
      <c r="BH127" s="15">
        <f>G127*AO127</f>
        <v>0</v>
      </c>
      <c r="BI127" s="15">
        <f>G127*AP127</f>
        <v>0</v>
      </c>
      <c r="BJ127" s="15">
        <f>G127*H127</f>
        <v>0</v>
      </c>
    </row>
    <row r="128" spans="1:62" x14ac:dyDescent="0.2">
      <c r="C128" s="58" t="s">
        <v>460</v>
      </c>
      <c r="D128" s="59"/>
      <c r="E128" s="59"/>
      <c r="G128" s="16">
        <v>176.8</v>
      </c>
    </row>
    <row r="129" spans="1:62" x14ac:dyDescent="0.2">
      <c r="A129" s="4" t="s">
        <v>40</v>
      </c>
      <c r="B129" s="4" t="s">
        <v>202</v>
      </c>
      <c r="C129" s="56" t="s">
        <v>461</v>
      </c>
      <c r="D129" s="57"/>
      <c r="E129" s="57"/>
      <c r="F129" s="4" t="s">
        <v>823</v>
      </c>
      <c r="G129" s="15">
        <v>1174.75</v>
      </c>
      <c r="H129" s="15">
        <v>0</v>
      </c>
      <c r="I129" s="15">
        <f>G129*AO129</f>
        <v>0</v>
      </c>
      <c r="J129" s="15">
        <f>G129*AP129</f>
        <v>0</v>
      </c>
      <c r="K129" s="15">
        <f>G129*H129</f>
        <v>0</v>
      </c>
      <c r="L129" s="27" t="s">
        <v>846</v>
      </c>
      <c r="Z129" s="32">
        <f>IF(AQ129="5",BJ129,0)</f>
        <v>0</v>
      </c>
      <c r="AB129" s="32">
        <f>IF(AQ129="1",BH129,0)</f>
        <v>0</v>
      </c>
      <c r="AC129" s="32">
        <f>IF(AQ129="1",BI129,0)</f>
        <v>0</v>
      </c>
      <c r="AD129" s="32">
        <f>IF(AQ129="7",BH129,0)</f>
        <v>0</v>
      </c>
      <c r="AE129" s="32">
        <f>IF(AQ129="7",BI129,0)</f>
        <v>0</v>
      </c>
      <c r="AF129" s="32">
        <f>IF(AQ129="2",BH129,0)</f>
        <v>0</v>
      </c>
      <c r="AG129" s="32">
        <f>IF(AQ129="2",BI129,0)</f>
        <v>0</v>
      </c>
      <c r="AH129" s="32">
        <f>IF(AQ129="0",BJ129,0)</f>
        <v>0</v>
      </c>
      <c r="AI129" s="28"/>
      <c r="AJ129" s="15">
        <f>IF(AN129=0,K129,0)</f>
        <v>0</v>
      </c>
      <c r="AK129" s="15">
        <f>IF(AN129=15,K129,0)</f>
        <v>0</v>
      </c>
      <c r="AL129" s="15">
        <f>IF(AN129=21,K129,0)</f>
        <v>0</v>
      </c>
      <c r="AN129" s="32">
        <v>21</v>
      </c>
      <c r="AO129" s="32">
        <f>H129*0.508076992291683</f>
        <v>0</v>
      </c>
      <c r="AP129" s="32">
        <f>H129*(1-0.508076992291683)</f>
        <v>0</v>
      </c>
      <c r="AQ129" s="27" t="s">
        <v>7</v>
      </c>
      <c r="AV129" s="32">
        <f>AW129+AX129</f>
        <v>0</v>
      </c>
      <c r="AW129" s="32">
        <f>G129*AO129</f>
        <v>0</v>
      </c>
      <c r="AX129" s="32">
        <f>G129*AP129</f>
        <v>0</v>
      </c>
      <c r="AY129" s="33" t="s">
        <v>866</v>
      </c>
      <c r="AZ129" s="33" t="s">
        <v>889</v>
      </c>
      <c r="BA129" s="28" t="s">
        <v>895</v>
      </c>
      <c r="BC129" s="32">
        <f>AW129+AX129</f>
        <v>0</v>
      </c>
      <c r="BD129" s="32">
        <f>H129/(100-BE129)*100</f>
        <v>0</v>
      </c>
      <c r="BE129" s="32">
        <v>0</v>
      </c>
      <c r="BF129" s="32">
        <f>127</f>
        <v>127</v>
      </c>
      <c r="BH129" s="15">
        <f>G129*AO129</f>
        <v>0</v>
      </c>
      <c r="BI129" s="15">
        <f>G129*AP129</f>
        <v>0</v>
      </c>
      <c r="BJ129" s="15">
        <f>G129*H129</f>
        <v>0</v>
      </c>
    </row>
    <row r="130" spans="1:62" x14ac:dyDescent="0.2">
      <c r="C130" s="58" t="s">
        <v>462</v>
      </c>
      <c r="D130" s="59"/>
      <c r="E130" s="59"/>
      <c r="G130" s="16">
        <v>1174.75</v>
      </c>
    </row>
    <row r="131" spans="1:62" x14ac:dyDescent="0.2">
      <c r="A131" s="4" t="s">
        <v>41</v>
      </c>
      <c r="B131" s="4" t="s">
        <v>203</v>
      </c>
      <c r="C131" s="56" t="s">
        <v>463</v>
      </c>
      <c r="D131" s="57"/>
      <c r="E131" s="57"/>
      <c r="F131" s="4" t="s">
        <v>826</v>
      </c>
      <c r="G131" s="15">
        <v>130</v>
      </c>
      <c r="H131" s="15">
        <v>0</v>
      </c>
      <c r="I131" s="15">
        <f>G131*AO131</f>
        <v>0</v>
      </c>
      <c r="J131" s="15">
        <f>G131*AP131</f>
        <v>0</v>
      </c>
      <c r="K131" s="15">
        <f>G131*H131</f>
        <v>0</v>
      </c>
      <c r="L131" s="27" t="s">
        <v>846</v>
      </c>
      <c r="Z131" s="32">
        <f>IF(AQ131="5",BJ131,0)</f>
        <v>0</v>
      </c>
      <c r="AB131" s="32">
        <f>IF(AQ131="1",BH131,0)</f>
        <v>0</v>
      </c>
      <c r="AC131" s="32">
        <f>IF(AQ131="1",BI131,0)</f>
        <v>0</v>
      </c>
      <c r="AD131" s="32">
        <f>IF(AQ131="7",BH131,0)</f>
        <v>0</v>
      </c>
      <c r="AE131" s="32">
        <f>IF(AQ131="7",BI131,0)</f>
        <v>0</v>
      </c>
      <c r="AF131" s="32">
        <f>IF(AQ131="2",BH131,0)</f>
        <v>0</v>
      </c>
      <c r="AG131" s="32">
        <f>IF(AQ131="2",BI131,0)</f>
        <v>0</v>
      </c>
      <c r="AH131" s="32">
        <f>IF(AQ131="0",BJ131,0)</f>
        <v>0</v>
      </c>
      <c r="AI131" s="28"/>
      <c r="AJ131" s="15">
        <f>IF(AN131=0,K131,0)</f>
        <v>0</v>
      </c>
      <c r="AK131" s="15">
        <f>IF(AN131=15,K131,0)</f>
        <v>0</v>
      </c>
      <c r="AL131" s="15">
        <f>IF(AN131=21,K131,0)</f>
        <v>0</v>
      </c>
      <c r="AN131" s="32">
        <v>21</v>
      </c>
      <c r="AO131" s="32">
        <f>H131*0.554363212932097</f>
        <v>0</v>
      </c>
      <c r="AP131" s="32">
        <f>H131*(1-0.554363212932097)</f>
        <v>0</v>
      </c>
      <c r="AQ131" s="27" t="s">
        <v>7</v>
      </c>
      <c r="AV131" s="32">
        <f>AW131+AX131</f>
        <v>0</v>
      </c>
      <c r="AW131" s="32">
        <f>G131*AO131</f>
        <v>0</v>
      </c>
      <c r="AX131" s="32">
        <f>G131*AP131</f>
        <v>0</v>
      </c>
      <c r="AY131" s="33" t="s">
        <v>866</v>
      </c>
      <c r="AZ131" s="33" t="s">
        <v>889</v>
      </c>
      <c r="BA131" s="28" t="s">
        <v>895</v>
      </c>
      <c r="BC131" s="32">
        <f>AW131+AX131</f>
        <v>0</v>
      </c>
      <c r="BD131" s="32">
        <f>H131/(100-BE131)*100</f>
        <v>0</v>
      </c>
      <c r="BE131" s="32">
        <v>0</v>
      </c>
      <c r="BF131" s="32">
        <f>129</f>
        <v>129</v>
      </c>
      <c r="BH131" s="15">
        <f>G131*AO131</f>
        <v>0</v>
      </c>
      <c r="BI131" s="15">
        <f>G131*AP131</f>
        <v>0</v>
      </c>
      <c r="BJ131" s="15">
        <f>G131*H131</f>
        <v>0</v>
      </c>
    </row>
    <row r="132" spans="1:62" x14ac:dyDescent="0.2">
      <c r="C132" s="58" t="s">
        <v>464</v>
      </c>
      <c r="D132" s="59"/>
      <c r="E132" s="59"/>
      <c r="G132" s="16">
        <v>130</v>
      </c>
    </row>
    <row r="133" spans="1:62" x14ac:dyDescent="0.2">
      <c r="A133" s="5"/>
      <c r="B133" s="13" t="s">
        <v>70</v>
      </c>
      <c r="C133" s="66" t="s">
        <v>465</v>
      </c>
      <c r="D133" s="67"/>
      <c r="E133" s="67"/>
      <c r="F133" s="5" t="s">
        <v>6</v>
      </c>
      <c r="G133" s="5" t="s">
        <v>6</v>
      </c>
      <c r="H133" s="5" t="s">
        <v>6</v>
      </c>
      <c r="I133" s="35">
        <f>SUM(I134:I134)</f>
        <v>0</v>
      </c>
      <c r="J133" s="35">
        <f>SUM(J134:J134)</f>
        <v>0</v>
      </c>
      <c r="K133" s="35">
        <f>SUM(K134:K134)</f>
        <v>0</v>
      </c>
      <c r="L133" s="28"/>
      <c r="AI133" s="28"/>
      <c r="AS133" s="35">
        <f>SUM(AJ134:AJ134)</f>
        <v>0</v>
      </c>
      <c r="AT133" s="35">
        <f>SUM(AK134:AK134)</f>
        <v>0</v>
      </c>
      <c r="AU133" s="35">
        <f>SUM(AL134:AL134)</f>
        <v>0</v>
      </c>
    </row>
    <row r="134" spans="1:62" x14ac:dyDescent="0.2">
      <c r="A134" s="4" t="s">
        <v>42</v>
      </c>
      <c r="B134" s="4" t="s">
        <v>204</v>
      </c>
      <c r="C134" s="56" t="s">
        <v>466</v>
      </c>
      <c r="D134" s="57"/>
      <c r="E134" s="57"/>
      <c r="F134" s="4" t="s">
        <v>826</v>
      </c>
      <c r="G134" s="15">
        <v>220.5</v>
      </c>
      <c r="H134" s="15">
        <v>0</v>
      </c>
      <c r="I134" s="15">
        <f>G134*AO134</f>
        <v>0</v>
      </c>
      <c r="J134" s="15">
        <f>G134*AP134</f>
        <v>0</v>
      </c>
      <c r="K134" s="15">
        <f>G134*H134</f>
        <v>0</v>
      </c>
      <c r="L134" s="27" t="s">
        <v>846</v>
      </c>
      <c r="Z134" s="32">
        <f>IF(AQ134="5",BJ134,0)</f>
        <v>0</v>
      </c>
      <c r="AB134" s="32">
        <f>IF(AQ134="1",BH134,0)</f>
        <v>0</v>
      </c>
      <c r="AC134" s="32">
        <f>IF(AQ134="1",BI134,0)</f>
        <v>0</v>
      </c>
      <c r="AD134" s="32">
        <f>IF(AQ134="7",BH134,0)</f>
        <v>0</v>
      </c>
      <c r="AE134" s="32">
        <f>IF(AQ134="7",BI134,0)</f>
        <v>0</v>
      </c>
      <c r="AF134" s="32">
        <f>IF(AQ134="2",BH134,0)</f>
        <v>0</v>
      </c>
      <c r="AG134" s="32">
        <f>IF(AQ134="2",BI134,0)</f>
        <v>0</v>
      </c>
      <c r="AH134" s="32">
        <f>IF(AQ134="0",BJ134,0)</f>
        <v>0</v>
      </c>
      <c r="AI134" s="28"/>
      <c r="AJ134" s="15">
        <f>IF(AN134=0,K134,0)</f>
        <v>0</v>
      </c>
      <c r="AK134" s="15">
        <f>IF(AN134=15,K134,0)</f>
        <v>0</v>
      </c>
      <c r="AL134" s="15">
        <f>IF(AN134=21,K134,0)</f>
        <v>0</v>
      </c>
      <c r="AN134" s="32">
        <v>21</v>
      </c>
      <c r="AO134" s="32">
        <f>H134*0.66309423347398</f>
        <v>0</v>
      </c>
      <c r="AP134" s="32">
        <f>H134*(1-0.66309423347398)</f>
        <v>0</v>
      </c>
      <c r="AQ134" s="27" t="s">
        <v>7</v>
      </c>
      <c r="AV134" s="32">
        <f>AW134+AX134</f>
        <v>0</v>
      </c>
      <c r="AW134" s="32">
        <f>G134*AO134</f>
        <v>0</v>
      </c>
      <c r="AX134" s="32">
        <f>G134*AP134</f>
        <v>0</v>
      </c>
      <c r="AY134" s="33" t="s">
        <v>867</v>
      </c>
      <c r="AZ134" s="33" t="s">
        <v>889</v>
      </c>
      <c r="BA134" s="28" t="s">
        <v>895</v>
      </c>
      <c r="BC134" s="32">
        <f>AW134+AX134</f>
        <v>0</v>
      </c>
      <c r="BD134" s="32">
        <f>H134/(100-BE134)*100</f>
        <v>0</v>
      </c>
      <c r="BE134" s="32">
        <v>0</v>
      </c>
      <c r="BF134" s="32">
        <f>132</f>
        <v>132</v>
      </c>
      <c r="BH134" s="15">
        <f>G134*AO134</f>
        <v>0</v>
      </c>
      <c r="BI134" s="15">
        <f>G134*AP134</f>
        <v>0</v>
      </c>
      <c r="BJ134" s="15">
        <f>G134*H134</f>
        <v>0</v>
      </c>
    </row>
    <row r="135" spans="1:62" x14ac:dyDescent="0.2">
      <c r="C135" s="58" t="s">
        <v>467</v>
      </c>
      <c r="D135" s="59"/>
      <c r="E135" s="59"/>
      <c r="G135" s="16">
        <v>210</v>
      </c>
    </row>
    <row r="136" spans="1:62" x14ac:dyDescent="0.2">
      <c r="C136" s="58" t="s">
        <v>468</v>
      </c>
      <c r="D136" s="59"/>
      <c r="E136" s="59"/>
      <c r="G136" s="16">
        <v>10.5</v>
      </c>
    </row>
    <row r="137" spans="1:62" x14ac:dyDescent="0.2">
      <c r="A137" s="5"/>
      <c r="B137" s="13" t="s">
        <v>205</v>
      </c>
      <c r="C137" s="66" t="s">
        <v>469</v>
      </c>
      <c r="D137" s="67"/>
      <c r="E137" s="67"/>
      <c r="F137" s="5" t="s">
        <v>6</v>
      </c>
      <c r="G137" s="5" t="s">
        <v>6</v>
      </c>
      <c r="H137" s="5" t="s">
        <v>6</v>
      </c>
      <c r="I137" s="35">
        <f>SUM(I138:I170)</f>
        <v>0</v>
      </c>
      <c r="J137" s="35">
        <f>SUM(J138:J170)</f>
        <v>0</v>
      </c>
      <c r="K137" s="35">
        <f>SUM(K138:K170)</f>
        <v>0</v>
      </c>
      <c r="L137" s="28"/>
      <c r="AI137" s="28"/>
      <c r="AS137" s="35">
        <f>SUM(AJ138:AJ170)</f>
        <v>0</v>
      </c>
      <c r="AT137" s="35">
        <f>SUM(AK138:AK170)</f>
        <v>0</v>
      </c>
      <c r="AU137" s="35">
        <f>SUM(AL138:AL170)</f>
        <v>0</v>
      </c>
    </row>
    <row r="138" spans="1:62" x14ac:dyDescent="0.2">
      <c r="A138" s="4" t="s">
        <v>43</v>
      </c>
      <c r="B138" s="4" t="s">
        <v>206</v>
      </c>
      <c r="C138" s="56" t="s">
        <v>470</v>
      </c>
      <c r="D138" s="57"/>
      <c r="E138" s="57"/>
      <c r="F138" s="4" t="s">
        <v>823</v>
      </c>
      <c r="G138" s="15">
        <v>962.5</v>
      </c>
      <c r="H138" s="15">
        <v>0</v>
      </c>
      <c r="I138" s="15">
        <f>G138*AO138</f>
        <v>0</v>
      </c>
      <c r="J138" s="15">
        <f>G138*AP138</f>
        <v>0</v>
      </c>
      <c r="K138" s="15">
        <f>G138*H138</f>
        <v>0</v>
      </c>
      <c r="L138" s="27" t="s">
        <v>846</v>
      </c>
      <c r="Z138" s="32">
        <f>IF(AQ138="5",BJ138,0)</f>
        <v>0</v>
      </c>
      <c r="AB138" s="32">
        <f>IF(AQ138="1",BH138,0)</f>
        <v>0</v>
      </c>
      <c r="AC138" s="32">
        <f>IF(AQ138="1",BI138,0)</f>
        <v>0</v>
      </c>
      <c r="AD138" s="32">
        <f>IF(AQ138="7",BH138,0)</f>
        <v>0</v>
      </c>
      <c r="AE138" s="32">
        <f>IF(AQ138="7",BI138,0)</f>
        <v>0</v>
      </c>
      <c r="AF138" s="32">
        <f>IF(AQ138="2",BH138,0)</f>
        <v>0</v>
      </c>
      <c r="AG138" s="32">
        <f>IF(AQ138="2",BI138,0)</f>
        <v>0</v>
      </c>
      <c r="AH138" s="32">
        <f>IF(AQ138="0",BJ138,0)</f>
        <v>0</v>
      </c>
      <c r="AI138" s="28"/>
      <c r="AJ138" s="15">
        <f>IF(AN138=0,K138,0)</f>
        <v>0</v>
      </c>
      <c r="AK138" s="15">
        <f>IF(AN138=15,K138,0)</f>
        <v>0</v>
      </c>
      <c r="AL138" s="15">
        <f>IF(AN138=21,K138,0)</f>
        <v>0</v>
      </c>
      <c r="AN138" s="32">
        <v>21</v>
      </c>
      <c r="AO138" s="32">
        <f>H138*0</f>
        <v>0</v>
      </c>
      <c r="AP138" s="32">
        <f>H138*(1-0)</f>
        <v>0</v>
      </c>
      <c r="AQ138" s="27" t="s">
        <v>13</v>
      </c>
      <c r="AV138" s="32">
        <f>AW138+AX138</f>
        <v>0</v>
      </c>
      <c r="AW138" s="32">
        <f>G138*AO138</f>
        <v>0</v>
      </c>
      <c r="AX138" s="32">
        <f>G138*AP138</f>
        <v>0</v>
      </c>
      <c r="AY138" s="33" t="s">
        <v>868</v>
      </c>
      <c r="AZ138" s="33" t="s">
        <v>890</v>
      </c>
      <c r="BA138" s="28" t="s">
        <v>895</v>
      </c>
      <c r="BC138" s="32">
        <f>AW138+AX138</f>
        <v>0</v>
      </c>
      <c r="BD138" s="32">
        <f>H138/(100-BE138)*100</f>
        <v>0</v>
      </c>
      <c r="BE138" s="32">
        <v>0</v>
      </c>
      <c r="BF138" s="32">
        <f>136</f>
        <v>136</v>
      </c>
      <c r="BH138" s="15">
        <f>G138*AO138</f>
        <v>0</v>
      </c>
      <c r="BI138" s="15">
        <f>G138*AP138</f>
        <v>0</v>
      </c>
      <c r="BJ138" s="15">
        <f>G138*H138</f>
        <v>0</v>
      </c>
    </row>
    <row r="139" spans="1:62" x14ac:dyDescent="0.2">
      <c r="C139" s="58" t="s">
        <v>471</v>
      </c>
      <c r="D139" s="59"/>
      <c r="E139" s="59"/>
      <c r="G139" s="16">
        <v>892</v>
      </c>
    </row>
    <row r="140" spans="1:62" x14ac:dyDescent="0.2">
      <c r="C140" s="58" t="s">
        <v>472</v>
      </c>
      <c r="D140" s="59"/>
      <c r="E140" s="59"/>
      <c r="G140" s="16">
        <v>70.5</v>
      </c>
    </row>
    <row r="141" spans="1:62" x14ac:dyDescent="0.2">
      <c r="A141" s="4" t="s">
        <v>44</v>
      </c>
      <c r="B141" s="4" t="s">
        <v>207</v>
      </c>
      <c r="C141" s="56" t="s">
        <v>473</v>
      </c>
      <c r="D141" s="57"/>
      <c r="E141" s="57"/>
      <c r="F141" s="4" t="s">
        <v>823</v>
      </c>
      <c r="G141" s="15">
        <v>963</v>
      </c>
      <c r="H141" s="15">
        <v>0</v>
      </c>
      <c r="I141" s="15">
        <f>G141*AO141</f>
        <v>0</v>
      </c>
      <c r="J141" s="15">
        <f>G141*AP141</f>
        <v>0</v>
      </c>
      <c r="K141" s="15">
        <f>G141*H141</f>
        <v>0</v>
      </c>
      <c r="L141" s="27" t="s">
        <v>846</v>
      </c>
      <c r="Z141" s="32">
        <f>IF(AQ141="5",BJ141,0)</f>
        <v>0</v>
      </c>
      <c r="AB141" s="32">
        <f>IF(AQ141="1",BH141,0)</f>
        <v>0</v>
      </c>
      <c r="AC141" s="32">
        <f>IF(AQ141="1",BI141,0)</f>
        <v>0</v>
      </c>
      <c r="AD141" s="32">
        <f>IF(AQ141="7",BH141,0)</f>
        <v>0</v>
      </c>
      <c r="AE141" s="32">
        <f>IF(AQ141="7",BI141,0)</f>
        <v>0</v>
      </c>
      <c r="AF141" s="32">
        <f>IF(AQ141="2",BH141,0)</f>
        <v>0</v>
      </c>
      <c r="AG141" s="32">
        <f>IF(AQ141="2",BI141,0)</f>
        <v>0</v>
      </c>
      <c r="AH141" s="32">
        <f>IF(AQ141="0",BJ141,0)</f>
        <v>0</v>
      </c>
      <c r="AI141" s="28"/>
      <c r="AJ141" s="15">
        <f>IF(AN141=0,K141,0)</f>
        <v>0</v>
      </c>
      <c r="AK141" s="15">
        <f>IF(AN141=15,K141,0)</f>
        <v>0</v>
      </c>
      <c r="AL141" s="15">
        <f>IF(AN141=21,K141,0)</f>
        <v>0</v>
      </c>
      <c r="AN141" s="32">
        <v>21</v>
      </c>
      <c r="AO141" s="32">
        <f>H141*0</f>
        <v>0</v>
      </c>
      <c r="AP141" s="32">
        <f>H141*(1-0)</f>
        <v>0</v>
      </c>
      <c r="AQ141" s="27" t="s">
        <v>13</v>
      </c>
      <c r="AV141" s="32">
        <f>AW141+AX141</f>
        <v>0</v>
      </c>
      <c r="AW141" s="32">
        <f>G141*AO141</f>
        <v>0</v>
      </c>
      <c r="AX141" s="32">
        <f>G141*AP141</f>
        <v>0</v>
      </c>
      <c r="AY141" s="33" t="s">
        <v>868</v>
      </c>
      <c r="AZ141" s="33" t="s">
        <v>890</v>
      </c>
      <c r="BA141" s="28" t="s">
        <v>895</v>
      </c>
      <c r="BC141" s="32">
        <f>AW141+AX141</f>
        <v>0</v>
      </c>
      <c r="BD141" s="32">
        <f>H141/(100-BE141)*100</f>
        <v>0</v>
      </c>
      <c r="BE141" s="32">
        <v>0</v>
      </c>
      <c r="BF141" s="32">
        <f>139</f>
        <v>139</v>
      </c>
      <c r="BH141" s="15">
        <f>G141*AO141</f>
        <v>0</v>
      </c>
      <c r="BI141" s="15">
        <f>G141*AP141</f>
        <v>0</v>
      </c>
      <c r="BJ141" s="15">
        <f>G141*H141</f>
        <v>0</v>
      </c>
    </row>
    <row r="142" spans="1:62" x14ac:dyDescent="0.2">
      <c r="C142" s="58" t="s">
        <v>474</v>
      </c>
      <c r="D142" s="59"/>
      <c r="E142" s="59"/>
      <c r="G142" s="16">
        <v>963</v>
      </c>
    </row>
    <row r="143" spans="1:62" x14ac:dyDescent="0.2">
      <c r="A143" s="4" t="s">
        <v>45</v>
      </c>
      <c r="B143" s="4" t="s">
        <v>208</v>
      </c>
      <c r="C143" s="56" t="s">
        <v>945</v>
      </c>
      <c r="D143" s="57"/>
      <c r="E143" s="57"/>
      <c r="F143" s="4" t="s">
        <v>826</v>
      </c>
      <c r="G143" s="15">
        <v>142</v>
      </c>
      <c r="H143" s="15">
        <v>0</v>
      </c>
      <c r="I143" s="15">
        <f>G143*AO143</f>
        <v>0</v>
      </c>
      <c r="J143" s="15">
        <f>G143*AP143</f>
        <v>0</v>
      </c>
      <c r="K143" s="15">
        <f>G143*H143</f>
        <v>0</v>
      </c>
      <c r="L143" s="27" t="s">
        <v>846</v>
      </c>
      <c r="Z143" s="32">
        <f>IF(AQ143="5",BJ143,0)</f>
        <v>0</v>
      </c>
      <c r="AB143" s="32">
        <f>IF(AQ143="1",BH143,0)</f>
        <v>0</v>
      </c>
      <c r="AC143" s="32">
        <f>IF(AQ143="1",BI143,0)</f>
        <v>0</v>
      </c>
      <c r="AD143" s="32">
        <f>IF(AQ143="7",BH143,0)</f>
        <v>0</v>
      </c>
      <c r="AE143" s="32">
        <f>IF(AQ143="7",BI143,0)</f>
        <v>0</v>
      </c>
      <c r="AF143" s="32">
        <f>IF(AQ143="2",BH143,0)</f>
        <v>0</v>
      </c>
      <c r="AG143" s="32">
        <f>IF(AQ143="2",BI143,0)</f>
        <v>0</v>
      </c>
      <c r="AH143" s="32">
        <f>IF(AQ143="0",BJ143,0)</f>
        <v>0</v>
      </c>
      <c r="AI143" s="28"/>
      <c r="AJ143" s="15">
        <f>IF(AN143=0,K143,0)</f>
        <v>0</v>
      </c>
      <c r="AK143" s="15">
        <f>IF(AN143=15,K143,0)</f>
        <v>0</v>
      </c>
      <c r="AL143" s="15">
        <f>IF(AN143=21,K143,0)</f>
        <v>0</v>
      </c>
      <c r="AN143" s="32">
        <v>21</v>
      </c>
      <c r="AO143" s="32">
        <f>H143*0.41157437567861</f>
        <v>0</v>
      </c>
      <c r="AP143" s="32">
        <f>H143*(1-0.41157437567861)</f>
        <v>0</v>
      </c>
      <c r="AQ143" s="27" t="s">
        <v>13</v>
      </c>
      <c r="AV143" s="32">
        <f>AW143+AX143</f>
        <v>0</v>
      </c>
      <c r="AW143" s="32">
        <f>G143*AO143</f>
        <v>0</v>
      </c>
      <c r="AX143" s="32">
        <f>G143*AP143</f>
        <v>0</v>
      </c>
      <c r="AY143" s="33" t="s">
        <v>868</v>
      </c>
      <c r="AZ143" s="33" t="s">
        <v>890</v>
      </c>
      <c r="BA143" s="28" t="s">
        <v>895</v>
      </c>
      <c r="BC143" s="32">
        <f>AW143+AX143</f>
        <v>0</v>
      </c>
      <c r="BD143" s="32">
        <f>H143/(100-BE143)*100</f>
        <v>0</v>
      </c>
      <c r="BE143" s="32">
        <v>0</v>
      </c>
      <c r="BF143" s="32">
        <f>141</f>
        <v>141</v>
      </c>
      <c r="BH143" s="15">
        <f>G143*AO143</f>
        <v>0</v>
      </c>
      <c r="BI143" s="15">
        <f>G143*AP143</f>
        <v>0</v>
      </c>
      <c r="BJ143" s="15">
        <f>G143*H143</f>
        <v>0</v>
      </c>
    </row>
    <row r="144" spans="1:62" x14ac:dyDescent="0.2">
      <c r="C144" s="58" t="s">
        <v>475</v>
      </c>
      <c r="D144" s="59"/>
      <c r="E144" s="59"/>
      <c r="G144" s="16">
        <v>142</v>
      </c>
    </row>
    <row r="145" spans="1:62" x14ac:dyDescent="0.2">
      <c r="A145" s="4" t="s">
        <v>46</v>
      </c>
      <c r="B145" s="4" t="s">
        <v>209</v>
      </c>
      <c r="C145" s="56" t="s">
        <v>946</v>
      </c>
      <c r="D145" s="57"/>
      <c r="E145" s="57"/>
      <c r="F145" s="4" t="s">
        <v>826</v>
      </c>
      <c r="G145" s="15">
        <v>156.19999999999999</v>
      </c>
      <c r="H145" s="15">
        <v>0</v>
      </c>
      <c r="I145" s="15">
        <f>G145*AO145</f>
        <v>0</v>
      </c>
      <c r="J145" s="15">
        <f>G145*AP145</f>
        <v>0</v>
      </c>
      <c r="K145" s="15">
        <f>G145*H145</f>
        <v>0</v>
      </c>
      <c r="L145" s="27" t="s">
        <v>846</v>
      </c>
      <c r="Z145" s="32">
        <f>IF(AQ145="5",BJ145,0)</f>
        <v>0</v>
      </c>
      <c r="AB145" s="32">
        <f>IF(AQ145="1",BH145,0)</f>
        <v>0</v>
      </c>
      <c r="AC145" s="32">
        <f>IF(AQ145="1",BI145,0)</f>
        <v>0</v>
      </c>
      <c r="AD145" s="32">
        <f>IF(AQ145="7",BH145,0)</f>
        <v>0</v>
      </c>
      <c r="AE145" s="32">
        <f>IF(AQ145="7",BI145,0)</f>
        <v>0</v>
      </c>
      <c r="AF145" s="32">
        <f>IF(AQ145="2",BH145,0)</f>
        <v>0</v>
      </c>
      <c r="AG145" s="32">
        <f>IF(AQ145="2",BI145,0)</f>
        <v>0</v>
      </c>
      <c r="AH145" s="32">
        <f>IF(AQ145="0",BJ145,0)</f>
        <v>0</v>
      </c>
      <c r="AI145" s="28"/>
      <c r="AJ145" s="15">
        <f>IF(AN145=0,K145,0)</f>
        <v>0</v>
      </c>
      <c r="AK145" s="15">
        <f>IF(AN145=15,K145,0)</f>
        <v>0</v>
      </c>
      <c r="AL145" s="15">
        <f>IF(AN145=21,K145,0)</f>
        <v>0</v>
      </c>
      <c r="AN145" s="32">
        <v>21</v>
      </c>
      <c r="AO145" s="32">
        <f>H145*0.353857142857143</f>
        <v>0</v>
      </c>
      <c r="AP145" s="32">
        <f>H145*(1-0.353857142857143)</f>
        <v>0</v>
      </c>
      <c r="AQ145" s="27" t="s">
        <v>13</v>
      </c>
      <c r="AV145" s="32">
        <f>AW145+AX145</f>
        <v>0</v>
      </c>
      <c r="AW145" s="32">
        <f>G145*AO145</f>
        <v>0</v>
      </c>
      <c r="AX145" s="32">
        <f>G145*AP145</f>
        <v>0</v>
      </c>
      <c r="AY145" s="33" t="s">
        <v>868</v>
      </c>
      <c r="AZ145" s="33" t="s">
        <v>890</v>
      </c>
      <c r="BA145" s="28" t="s">
        <v>895</v>
      </c>
      <c r="BC145" s="32">
        <f>AW145+AX145</f>
        <v>0</v>
      </c>
      <c r="BD145" s="32">
        <f>H145/(100-BE145)*100</f>
        <v>0</v>
      </c>
      <c r="BE145" s="32">
        <v>0</v>
      </c>
      <c r="BF145" s="32">
        <f>143</f>
        <v>143</v>
      </c>
      <c r="BH145" s="15">
        <f>G145*AO145</f>
        <v>0</v>
      </c>
      <c r="BI145" s="15">
        <f>G145*AP145</f>
        <v>0</v>
      </c>
      <c r="BJ145" s="15">
        <f>G145*H145</f>
        <v>0</v>
      </c>
    </row>
    <row r="146" spans="1:62" x14ac:dyDescent="0.2">
      <c r="C146" s="58" t="s">
        <v>475</v>
      </c>
      <c r="D146" s="59"/>
      <c r="E146" s="59"/>
      <c r="G146" s="16">
        <v>142</v>
      </c>
    </row>
    <row r="147" spans="1:62" x14ac:dyDescent="0.2">
      <c r="C147" s="58" t="s">
        <v>476</v>
      </c>
      <c r="D147" s="59"/>
      <c r="E147" s="59"/>
      <c r="G147" s="16">
        <v>14.2</v>
      </c>
    </row>
    <row r="148" spans="1:62" x14ac:dyDescent="0.2">
      <c r="A148" s="4" t="s">
        <v>47</v>
      </c>
      <c r="B148" s="4" t="s">
        <v>210</v>
      </c>
      <c r="C148" s="56" t="s">
        <v>947</v>
      </c>
      <c r="D148" s="57"/>
      <c r="E148" s="57"/>
      <c r="F148" s="4" t="s">
        <v>826</v>
      </c>
      <c r="G148" s="15">
        <v>284</v>
      </c>
      <c r="H148" s="15">
        <v>0</v>
      </c>
      <c r="I148" s="15">
        <f>G148*AO148</f>
        <v>0</v>
      </c>
      <c r="J148" s="15">
        <f>G148*AP148</f>
        <v>0</v>
      </c>
      <c r="K148" s="15">
        <f>G148*H148</f>
        <v>0</v>
      </c>
      <c r="L148" s="27" t="s">
        <v>846</v>
      </c>
      <c r="Z148" s="32">
        <f>IF(AQ148="5",BJ148,0)</f>
        <v>0</v>
      </c>
      <c r="AB148" s="32">
        <f>IF(AQ148="1",BH148,0)</f>
        <v>0</v>
      </c>
      <c r="AC148" s="32">
        <f>IF(AQ148="1",BI148,0)</f>
        <v>0</v>
      </c>
      <c r="AD148" s="32">
        <f>IF(AQ148="7",BH148,0)</f>
        <v>0</v>
      </c>
      <c r="AE148" s="32">
        <f>IF(AQ148="7",BI148,0)</f>
        <v>0</v>
      </c>
      <c r="AF148" s="32">
        <f>IF(AQ148="2",BH148,0)</f>
        <v>0</v>
      </c>
      <c r="AG148" s="32">
        <f>IF(AQ148="2",BI148,0)</f>
        <v>0</v>
      </c>
      <c r="AH148" s="32">
        <f>IF(AQ148="0",BJ148,0)</f>
        <v>0</v>
      </c>
      <c r="AI148" s="28"/>
      <c r="AJ148" s="15">
        <f>IF(AN148=0,K148,0)</f>
        <v>0</v>
      </c>
      <c r="AK148" s="15">
        <f>IF(AN148=15,K148,0)</f>
        <v>0</v>
      </c>
      <c r="AL148" s="15">
        <f>IF(AN148=21,K148,0)</f>
        <v>0</v>
      </c>
      <c r="AN148" s="32">
        <v>21</v>
      </c>
      <c r="AO148" s="32">
        <f>H148*0.353857142857143</f>
        <v>0</v>
      </c>
      <c r="AP148" s="32">
        <f>H148*(1-0.353857142857143)</f>
        <v>0</v>
      </c>
      <c r="AQ148" s="27" t="s">
        <v>13</v>
      </c>
      <c r="AV148" s="32">
        <f>AW148+AX148</f>
        <v>0</v>
      </c>
      <c r="AW148" s="32">
        <f>G148*AO148</f>
        <v>0</v>
      </c>
      <c r="AX148" s="32">
        <f>G148*AP148</f>
        <v>0</v>
      </c>
      <c r="AY148" s="33" t="s">
        <v>868</v>
      </c>
      <c r="AZ148" s="33" t="s">
        <v>890</v>
      </c>
      <c r="BA148" s="28" t="s">
        <v>895</v>
      </c>
      <c r="BC148" s="32">
        <f>AW148+AX148</f>
        <v>0</v>
      </c>
      <c r="BD148" s="32">
        <f>H148/(100-BE148)*100</f>
        <v>0</v>
      </c>
      <c r="BE148" s="32">
        <v>0</v>
      </c>
      <c r="BF148" s="32">
        <f>146</f>
        <v>146</v>
      </c>
      <c r="BH148" s="15">
        <f>G148*AO148</f>
        <v>0</v>
      </c>
      <c r="BI148" s="15">
        <f>G148*AP148</f>
        <v>0</v>
      </c>
      <c r="BJ148" s="15">
        <f>G148*H148</f>
        <v>0</v>
      </c>
    </row>
    <row r="149" spans="1:62" x14ac:dyDescent="0.2">
      <c r="C149" s="58" t="s">
        <v>477</v>
      </c>
      <c r="D149" s="59"/>
      <c r="E149" s="59"/>
      <c r="G149" s="16">
        <v>284</v>
      </c>
    </row>
    <row r="150" spans="1:62" x14ac:dyDescent="0.2">
      <c r="A150" s="4" t="s">
        <v>48</v>
      </c>
      <c r="B150" s="4" t="s">
        <v>211</v>
      </c>
      <c r="C150" s="56" t="s">
        <v>478</v>
      </c>
      <c r="D150" s="57"/>
      <c r="E150" s="57"/>
      <c r="F150" s="4" t="s">
        <v>826</v>
      </c>
      <c r="G150" s="15">
        <v>142</v>
      </c>
      <c r="H150" s="15">
        <v>0</v>
      </c>
      <c r="I150" s="15">
        <f>G150*AO150</f>
        <v>0</v>
      </c>
      <c r="J150" s="15">
        <f>G150*AP150</f>
        <v>0</v>
      </c>
      <c r="K150" s="15">
        <f>G150*H150</f>
        <v>0</v>
      </c>
      <c r="L150" s="27" t="s">
        <v>846</v>
      </c>
      <c r="Z150" s="32">
        <f>IF(AQ150="5",BJ150,0)</f>
        <v>0</v>
      </c>
      <c r="AB150" s="32">
        <f>IF(AQ150="1",BH150,0)</f>
        <v>0</v>
      </c>
      <c r="AC150" s="32">
        <f>IF(AQ150="1",BI150,0)</f>
        <v>0</v>
      </c>
      <c r="AD150" s="32">
        <f>IF(AQ150="7",BH150,0)</f>
        <v>0</v>
      </c>
      <c r="AE150" s="32">
        <f>IF(AQ150="7",BI150,0)</f>
        <v>0</v>
      </c>
      <c r="AF150" s="32">
        <f>IF(AQ150="2",BH150,0)</f>
        <v>0</v>
      </c>
      <c r="AG150" s="32">
        <f>IF(AQ150="2",BI150,0)</f>
        <v>0</v>
      </c>
      <c r="AH150" s="32">
        <f>IF(AQ150="0",BJ150,0)</f>
        <v>0</v>
      </c>
      <c r="AI150" s="28"/>
      <c r="AJ150" s="15">
        <f>IF(AN150=0,K150,0)</f>
        <v>0</v>
      </c>
      <c r="AK150" s="15">
        <f>IF(AN150=15,K150,0)</f>
        <v>0</v>
      </c>
      <c r="AL150" s="15">
        <f>IF(AN150=21,K150,0)</f>
        <v>0</v>
      </c>
      <c r="AN150" s="32">
        <v>21</v>
      </c>
      <c r="AO150" s="32">
        <f>H150*0.421980676328502</f>
        <v>0</v>
      </c>
      <c r="AP150" s="32">
        <f>H150*(1-0.421980676328502)</f>
        <v>0</v>
      </c>
      <c r="AQ150" s="27" t="s">
        <v>13</v>
      </c>
      <c r="AV150" s="32">
        <f>AW150+AX150</f>
        <v>0</v>
      </c>
      <c r="AW150" s="32">
        <f>G150*AO150</f>
        <v>0</v>
      </c>
      <c r="AX150" s="32">
        <f>G150*AP150</f>
        <v>0</v>
      </c>
      <c r="AY150" s="33" t="s">
        <v>868</v>
      </c>
      <c r="AZ150" s="33" t="s">
        <v>890</v>
      </c>
      <c r="BA150" s="28" t="s">
        <v>895</v>
      </c>
      <c r="BC150" s="32">
        <f>AW150+AX150</f>
        <v>0</v>
      </c>
      <c r="BD150" s="32">
        <f>H150/(100-BE150)*100</f>
        <v>0</v>
      </c>
      <c r="BE150" s="32">
        <v>0</v>
      </c>
      <c r="BF150" s="32">
        <f>148</f>
        <v>148</v>
      </c>
      <c r="BH150" s="15">
        <f>G150*AO150</f>
        <v>0</v>
      </c>
      <c r="BI150" s="15">
        <f>G150*AP150</f>
        <v>0</v>
      </c>
      <c r="BJ150" s="15">
        <f>G150*H150</f>
        <v>0</v>
      </c>
    </row>
    <row r="151" spans="1:62" x14ac:dyDescent="0.2">
      <c r="C151" s="58" t="s">
        <v>475</v>
      </c>
      <c r="D151" s="59"/>
      <c r="E151" s="59"/>
      <c r="G151" s="16">
        <v>142</v>
      </c>
    </row>
    <row r="152" spans="1:62" x14ac:dyDescent="0.2">
      <c r="A152" s="6" t="s">
        <v>49</v>
      </c>
      <c r="B152" s="6" t="s">
        <v>212</v>
      </c>
      <c r="C152" s="68" t="s">
        <v>479</v>
      </c>
      <c r="D152" s="69"/>
      <c r="E152" s="69"/>
      <c r="F152" s="6" t="s">
        <v>826</v>
      </c>
      <c r="G152" s="17">
        <v>142</v>
      </c>
      <c r="H152" s="17">
        <v>0</v>
      </c>
      <c r="I152" s="17">
        <f>G152*AO152</f>
        <v>0</v>
      </c>
      <c r="J152" s="17">
        <f>G152*AP152</f>
        <v>0</v>
      </c>
      <c r="K152" s="17">
        <f>G152*H152</f>
        <v>0</v>
      </c>
      <c r="L152" s="29" t="s">
        <v>846</v>
      </c>
      <c r="Z152" s="32">
        <f>IF(AQ152="5",BJ152,0)</f>
        <v>0</v>
      </c>
      <c r="AB152" s="32">
        <f>IF(AQ152="1",BH152,0)</f>
        <v>0</v>
      </c>
      <c r="AC152" s="32">
        <f>IF(AQ152="1",BI152,0)</f>
        <v>0</v>
      </c>
      <c r="AD152" s="32">
        <f>IF(AQ152="7",BH152,0)</f>
        <v>0</v>
      </c>
      <c r="AE152" s="32">
        <f>IF(AQ152="7",BI152,0)</f>
        <v>0</v>
      </c>
      <c r="AF152" s="32">
        <f>IF(AQ152="2",BH152,0)</f>
        <v>0</v>
      </c>
      <c r="AG152" s="32">
        <f>IF(AQ152="2",BI152,0)</f>
        <v>0</v>
      </c>
      <c r="AH152" s="32">
        <f>IF(AQ152="0",BJ152,0)</f>
        <v>0</v>
      </c>
      <c r="AI152" s="28"/>
      <c r="AJ152" s="17">
        <f>IF(AN152=0,K152,0)</f>
        <v>0</v>
      </c>
      <c r="AK152" s="17">
        <f>IF(AN152=15,K152,0)</f>
        <v>0</v>
      </c>
      <c r="AL152" s="17">
        <f>IF(AN152=21,K152,0)</f>
        <v>0</v>
      </c>
      <c r="AN152" s="32">
        <v>21</v>
      </c>
      <c r="AO152" s="32">
        <f>H152*1</f>
        <v>0</v>
      </c>
      <c r="AP152" s="32">
        <f>H152*(1-1)</f>
        <v>0</v>
      </c>
      <c r="AQ152" s="29" t="s">
        <v>13</v>
      </c>
      <c r="AV152" s="32">
        <f>AW152+AX152</f>
        <v>0</v>
      </c>
      <c r="AW152" s="32">
        <f>G152*AO152</f>
        <v>0</v>
      </c>
      <c r="AX152" s="32">
        <f>G152*AP152</f>
        <v>0</v>
      </c>
      <c r="AY152" s="33" t="s">
        <v>868</v>
      </c>
      <c r="AZ152" s="33" t="s">
        <v>890</v>
      </c>
      <c r="BA152" s="28" t="s">
        <v>895</v>
      </c>
      <c r="BC152" s="32">
        <f>AW152+AX152</f>
        <v>0</v>
      </c>
      <c r="BD152" s="32">
        <f>H152/(100-BE152)*100</f>
        <v>0</v>
      </c>
      <c r="BE152" s="32">
        <v>0</v>
      </c>
      <c r="BF152" s="32">
        <f>150</f>
        <v>150</v>
      </c>
      <c r="BH152" s="17">
        <f>G152*AO152</f>
        <v>0</v>
      </c>
      <c r="BI152" s="17">
        <f>G152*AP152</f>
        <v>0</v>
      </c>
      <c r="BJ152" s="17">
        <f>G152*H152</f>
        <v>0</v>
      </c>
    </row>
    <row r="153" spans="1:62" x14ac:dyDescent="0.2">
      <c r="C153" s="58" t="s">
        <v>480</v>
      </c>
      <c r="D153" s="59"/>
      <c r="E153" s="59"/>
      <c r="G153" s="16">
        <v>142</v>
      </c>
    </row>
    <row r="154" spans="1:62" x14ac:dyDescent="0.2">
      <c r="A154" s="4" t="s">
        <v>50</v>
      </c>
      <c r="B154" s="4" t="s">
        <v>213</v>
      </c>
      <c r="C154" s="56" t="s">
        <v>481</v>
      </c>
      <c r="D154" s="57"/>
      <c r="E154" s="57"/>
      <c r="F154" s="4" t="s">
        <v>827</v>
      </c>
      <c r="G154" s="15">
        <v>8</v>
      </c>
      <c r="H154" s="15">
        <v>0</v>
      </c>
      <c r="I154" s="15">
        <f>G154*AO154</f>
        <v>0</v>
      </c>
      <c r="J154" s="15">
        <f>G154*AP154</f>
        <v>0</v>
      </c>
      <c r="K154" s="15">
        <f>G154*H154</f>
        <v>0</v>
      </c>
      <c r="L154" s="27" t="s">
        <v>846</v>
      </c>
      <c r="Z154" s="32">
        <f>IF(AQ154="5",BJ154,0)</f>
        <v>0</v>
      </c>
      <c r="AB154" s="32">
        <f>IF(AQ154="1",BH154,0)</f>
        <v>0</v>
      </c>
      <c r="AC154" s="32">
        <f>IF(AQ154="1",BI154,0)</f>
        <v>0</v>
      </c>
      <c r="AD154" s="32">
        <f>IF(AQ154="7",BH154,0)</f>
        <v>0</v>
      </c>
      <c r="AE154" s="32">
        <f>IF(AQ154="7",BI154,0)</f>
        <v>0</v>
      </c>
      <c r="AF154" s="32">
        <f>IF(AQ154="2",BH154,0)</f>
        <v>0</v>
      </c>
      <c r="AG154" s="32">
        <f>IF(AQ154="2",BI154,0)</f>
        <v>0</v>
      </c>
      <c r="AH154" s="32">
        <f>IF(AQ154="0",BJ154,0)</f>
        <v>0</v>
      </c>
      <c r="AI154" s="28"/>
      <c r="AJ154" s="15">
        <f>IF(AN154=0,K154,0)</f>
        <v>0</v>
      </c>
      <c r="AK154" s="15">
        <f>IF(AN154=15,K154,0)</f>
        <v>0</v>
      </c>
      <c r="AL154" s="15">
        <f>IF(AN154=21,K154,0)</f>
        <v>0</v>
      </c>
      <c r="AN154" s="32">
        <v>21</v>
      </c>
      <c r="AO154" s="32">
        <f>H154*0.805323743819259</f>
        <v>0</v>
      </c>
      <c r="AP154" s="32">
        <f>H154*(1-0.805323743819259)</f>
        <v>0</v>
      </c>
      <c r="AQ154" s="27" t="s">
        <v>13</v>
      </c>
      <c r="AV154" s="32">
        <f>AW154+AX154</f>
        <v>0</v>
      </c>
      <c r="AW154" s="32">
        <f>G154*AO154</f>
        <v>0</v>
      </c>
      <c r="AX154" s="32">
        <f>G154*AP154</f>
        <v>0</v>
      </c>
      <c r="AY154" s="33" t="s">
        <v>868</v>
      </c>
      <c r="AZ154" s="33" t="s">
        <v>890</v>
      </c>
      <c r="BA154" s="28" t="s">
        <v>895</v>
      </c>
      <c r="BC154" s="32">
        <f>AW154+AX154</f>
        <v>0</v>
      </c>
      <c r="BD154" s="32">
        <f>H154/(100-BE154)*100</f>
        <v>0</v>
      </c>
      <c r="BE154" s="32">
        <v>0</v>
      </c>
      <c r="BF154" s="32">
        <f>152</f>
        <v>152</v>
      </c>
      <c r="BH154" s="15">
        <f>G154*AO154</f>
        <v>0</v>
      </c>
      <c r="BI154" s="15">
        <f>G154*AP154</f>
        <v>0</v>
      </c>
      <c r="BJ154" s="15">
        <f>G154*H154</f>
        <v>0</v>
      </c>
    </row>
    <row r="155" spans="1:62" x14ac:dyDescent="0.2">
      <c r="C155" s="58" t="s">
        <v>482</v>
      </c>
      <c r="D155" s="59"/>
      <c r="E155" s="59"/>
      <c r="G155" s="16">
        <v>8</v>
      </c>
    </row>
    <row r="156" spans="1:62" x14ac:dyDescent="0.2">
      <c r="A156" s="4" t="s">
        <v>51</v>
      </c>
      <c r="B156" s="4" t="s">
        <v>214</v>
      </c>
      <c r="C156" s="56" t="s">
        <v>483</v>
      </c>
      <c r="D156" s="57"/>
      <c r="E156" s="57"/>
      <c r="F156" s="4" t="s">
        <v>827</v>
      </c>
      <c r="G156" s="15">
        <v>4</v>
      </c>
      <c r="H156" s="15">
        <v>0</v>
      </c>
      <c r="I156" s="15">
        <f>G156*AO156</f>
        <v>0</v>
      </c>
      <c r="J156" s="15">
        <f>G156*AP156</f>
        <v>0</v>
      </c>
      <c r="K156" s="15">
        <f>G156*H156</f>
        <v>0</v>
      </c>
      <c r="L156" s="27"/>
      <c r="Z156" s="32">
        <f>IF(AQ156="5",BJ156,0)</f>
        <v>0</v>
      </c>
      <c r="AB156" s="32">
        <f>IF(AQ156="1",BH156,0)</f>
        <v>0</v>
      </c>
      <c r="AC156" s="32">
        <f>IF(AQ156="1",BI156,0)</f>
        <v>0</v>
      </c>
      <c r="AD156" s="32">
        <f>IF(AQ156="7",BH156,0)</f>
        <v>0</v>
      </c>
      <c r="AE156" s="32">
        <f>IF(AQ156="7",BI156,0)</f>
        <v>0</v>
      </c>
      <c r="AF156" s="32">
        <f>IF(AQ156="2",BH156,0)</f>
        <v>0</v>
      </c>
      <c r="AG156" s="32">
        <f>IF(AQ156="2",BI156,0)</f>
        <v>0</v>
      </c>
      <c r="AH156" s="32">
        <f>IF(AQ156="0",BJ156,0)</f>
        <v>0</v>
      </c>
      <c r="AI156" s="28"/>
      <c r="AJ156" s="15">
        <f>IF(AN156=0,K156,0)</f>
        <v>0</v>
      </c>
      <c r="AK156" s="15">
        <f>IF(AN156=15,K156,0)</f>
        <v>0</v>
      </c>
      <c r="AL156" s="15">
        <f>IF(AN156=21,K156,0)</f>
        <v>0</v>
      </c>
      <c r="AN156" s="32">
        <v>21</v>
      </c>
      <c r="AO156" s="32">
        <f>H156*0.714285714285714</f>
        <v>0</v>
      </c>
      <c r="AP156" s="32">
        <f>H156*(1-0.714285714285714)</f>
        <v>0</v>
      </c>
      <c r="AQ156" s="27" t="s">
        <v>13</v>
      </c>
      <c r="AV156" s="32">
        <f>AW156+AX156</f>
        <v>0</v>
      </c>
      <c r="AW156" s="32">
        <f>G156*AO156</f>
        <v>0</v>
      </c>
      <c r="AX156" s="32">
        <f>G156*AP156</f>
        <v>0</v>
      </c>
      <c r="AY156" s="33" t="s">
        <v>868</v>
      </c>
      <c r="AZ156" s="33" t="s">
        <v>890</v>
      </c>
      <c r="BA156" s="28" t="s">
        <v>895</v>
      </c>
      <c r="BC156" s="32">
        <f>AW156+AX156</f>
        <v>0</v>
      </c>
      <c r="BD156" s="32">
        <f>H156/(100-BE156)*100</f>
        <v>0</v>
      </c>
      <c r="BE156" s="32">
        <v>0</v>
      </c>
      <c r="BF156" s="32">
        <f>154</f>
        <v>154</v>
      </c>
      <c r="BH156" s="15">
        <f>G156*AO156</f>
        <v>0</v>
      </c>
      <c r="BI156" s="15">
        <f>G156*AP156</f>
        <v>0</v>
      </c>
      <c r="BJ156" s="15">
        <f>G156*H156</f>
        <v>0</v>
      </c>
    </row>
    <row r="157" spans="1:62" x14ac:dyDescent="0.2">
      <c r="C157" s="58" t="s">
        <v>484</v>
      </c>
      <c r="D157" s="59"/>
      <c r="E157" s="59"/>
      <c r="G157" s="16">
        <v>4</v>
      </c>
    </row>
    <row r="158" spans="1:62" x14ac:dyDescent="0.2">
      <c r="A158" s="4" t="s">
        <v>52</v>
      </c>
      <c r="B158" s="4" t="s">
        <v>215</v>
      </c>
      <c r="C158" s="56" t="s">
        <v>485</v>
      </c>
      <c r="D158" s="57"/>
      <c r="E158" s="57"/>
      <c r="F158" s="4" t="s">
        <v>823</v>
      </c>
      <c r="G158" s="15">
        <v>963</v>
      </c>
      <c r="H158" s="15">
        <v>0</v>
      </c>
      <c r="I158" s="15">
        <f>G158*AO158</f>
        <v>0</v>
      </c>
      <c r="J158" s="15">
        <f>G158*AP158</f>
        <v>0</v>
      </c>
      <c r="K158" s="15">
        <f>G158*H158</f>
        <v>0</v>
      </c>
      <c r="L158" s="27" t="s">
        <v>846</v>
      </c>
      <c r="Z158" s="32">
        <f>IF(AQ158="5",BJ158,0)</f>
        <v>0</v>
      </c>
      <c r="AB158" s="32">
        <f>IF(AQ158="1",BH158,0)</f>
        <v>0</v>
      </c>
      <c r="AC158" s="32">
        <f>IF(AQ158="1",BI158,0)</f>
        <v>0</v>
      </c>
      <c r="AD158" s="32">
        <f>IF(AQ158="7",BH158,0)</f>
        <v>0</v>
      </c>
      <c r="AE158" s="32">
        <f>IF(AQ158="7",BI158,0)</f>
        <v>0</v>
      </c>
      <c r="AF158" s="32">
        <f>IF(AQ158="2",BH158,0)</f>
        <v>0</v>
      </c>
      <c r="AG158" s="32">
        <f>IF(AQ158="2",BI158,0)</f>
        <v>0</v>
      </c>
      <c r="AH158" s="32">
        <f>IF(AQ158="0",BJ158,0)</f>
        <v>0</v>
      </c>
      <c r="AI158" s="28"/>
      <c r="AJ158" s="15">
        <f>IF(AN158=0,K158,0)</f>
        <v>0</v>
      </c>
      <c r="AK158" s="15">
        <f>IF(AN158=15,K158,0)</f>
        <v>0</v>
      </c>
      <c r="AL158" s="15">
        <f>IF(AN158=21,K158,0)</f>
        <v>0</v>
      </c>
      <c r="AN158" s="32">
        <v>21</v>
      </c>
      <c r="AO158" s="32">
        <f>H158*0</f>
        <v>0</v>
      </c>
      <c r="AP158" s="32">
        <f>H158*(1-0)</f>
        <v>0</v>
      </c>
      <c r="AQ158" s="27" t="s">
        <v>13</v>
      </c>
      <c r="AV158" s="32">
        <f>AW158+AX158</f>
        <v>0</v>
      </c>
      <c r="AW158" s="32">
        <f>G158*AO158</f>
        <v>0</v>
      </c>
      <c r="AX158" s="32">
        <f>G158*AP158</f>
        <v>0</v>
      </c>
      <c r="AY158" s="33" t="s">
        <v>868</v>
      </c>
      <c r="AZ158" s="33" t="s">
        <v>890</v>
      </c>
      <c r="BA158" s="28" t="s">
        <v>895</v>
      </c>
      <c r="BC158" s="32">
        <f>AW158+AX158</f>
        <v>0</v>
      </c>
      <c r="BD158" s="32">
        <f>H158/(100-BE158)*100</f>
        <v>0</v>
      </c>
      <c r="BE158" s="32">
        <v>0</v>
      </c>
      <c r="BF158" s="32">
        <f>156</f>
        <v>156</v>
      </c>
      <c r="BH158" s="15">
        <f>G158*AO158</f>
        <v>0</v>
      </c>
      <c r="BI158" s="15">
        <f>G158*AP158</f>
        <v>0</v>
      </c>
      <c r="BJ158" s="15">
        <f>G158*H158</f>
        <v>0</v>
      </c>
    </row>
    <row r="159" spans="1:62" x14ac:dyDescent="0.2">
      <c r="C159" s="58" t="s">
        <v>486</v>
      </c>
      <c r="D159" s="59"/>
      <c r="E159" s="59"/>
      <c r="G159" s="16">
        <v>963</v>
      </c>
    </row>
    <row r="160" spans="1:62" x14ac:dyDescent="0.2">
      <c r="A160" s="6" t="s">
        <v>53</v>
      </c>
      <c r="B160" s="6" t="s">
        <v>216</v>
      </c>
      <c r="C160" s="68" t="s">
        <v>948</v>
      </c>
      <c r="D160" s="69"/>
      <c r="E160" s="69"/>
      <c r="F160" s="6" t="s">
        <v>823</v>
      </c>
      <c r="G160" s="17">
        <v>1011.15</v>
      </c>
      <c r="H160" s="17">
        <v>0</v>
      </c>
      <c r="I160" s="17">
        <f>G160*AO160</f>
        <v>0</v>
      </c>
      <c r="J160" s="17">
        <f>G160*AP160</f>
        <v>0</v>
      </c>
      <c r="K160" s="17">
        <f>G160*H160</f>
        <v>0</v>
      </c>
      <c r="L160" s="29" t="s">
        <v>847</v>
      </c>
      <c r="Z160" s="32">
        <f>IF(AQ160="5",BJ160,0)</f>
        <v>0</v>
      </c>
      <c r="AB160" s="32">
        <f>IF(AQ160="1",BH160,0)</f>
        <v>0</v>
      </c>
      <c r="AC160" s="32">
        <f>IF(AQ160="1",BI160,0)</f>
        <v>0</v>
      </c>
      <c r="AD160" s="32">
        <f>IF(AQ160="7",BH160,0)</f>
        <v>0</v>
      </c>
      <c r="AE160" s="32">
        <f>IF(AQ160="7",BI160,0)</f>
        <v>0</v>
      </c>
      <c r="AF160" s="32">
        <f>IF(AQ160="2",BH160,0)</f>
        <v>0</v>
      </c>
      <c r="AG160" s="32">
        <f>IF(AQ160="2",BI160,0)</f>
        <v>0</v>
      </c>
      <c r="AH160" s="32">
        <f>IF(AQ160="0",BJ160,0)</f>
        <v>0</v>
      </c>
      <c r="AI160" s="28"/>
      <c r="AJ160" s="17">
        <f>IF(AN160=0,K160,0)</f>
        <v>0</v>
      </c>
      <c r="AK160" s="17">
        <f>IF(AN160=15,K160,0)</f>
        <v>0</v>
      </c>
      <c r="AL160" s="17">
        <f>IF(AN160=21,K160,0)</f>
        <v>0</v>
      </c>
      <c r="AN160" s="32">
        <v>21</v>
      </c>
      <c r="AO160" s="32">
        <f>H160*1</f>
        <v>0</v>
      </c>
      <c r="AP160" s="32">
        <f>H160*(1-1)</f>
        <v>0</v>
      </c>
      <c r="AQ160" s="29" t="s">
        <v>13</v>
      </c>
      <c r="AV160" s="32">
        <f>AW160+AX160</f>
        <v>0</v>
      </c>
      <c r="AW160" s="32">
        <f>G160*AO160</f>
        <v>0</v>
      </c>
      <c r="AX160" s="32">
        <f>G160*AP160</f>
        <v>0</v>
      </c>
      <c r="AY160" s="33" t="s">
        <v>868</v>
      </c>
      <c r="AZ160" s="33" t="s">
        <v>890</v>
      </c>
      <c r="BA160" s="28" t="s">
        <v>895</v>
      </c>
      <c r="BC160" s="32">
        <f>AW160+AX160</f>
        <v>0</v>
      </c>
      <c r="BD160" s="32">
        <f>H160/(100-BE160)*100</f>
        <v>0</v>
      </c>
      <c r="BE160" s="32">
        <v>0</v>
      </c>
      <c r="BF160" s="32">
        <f>158</f>
        <v>158</v>
      </c>
      <c r="BH160" s="17">
        <f>G160*AO160</f>
        <v>0</v>
      </c>
      <c r="BI160" s="17">
        <f>G160*AP160</f>
        <v>0</v>
      </c>
      <c r="BJ160" s="17">
        <f>G160*H160</f>
        <v>0</v>
      </c>
    </row>
    <row r="161" spans="1:62" x14ac:dyDescent="0.2">
      <c r="C161" s="58" t="s">
        <v>487</v>
      </c>
      <c r="D161" s="59"/>
      <c r="E161" s="59"/>
      <c r="G161" s="16">
        <v>1011.15</v>
      </c>
    </row>
    <row r="162" spans="1:62" x14ac:dyDescent="0.2">
      <c r="A162" s="4" t="s">
        <v>54</v>
      </c>
      <c r="B162" s="4" t="s">
        <v>217</v>
      </c>
      <c r="C162" s="56" t="s">
        <v>488</v>
      </c>
      <c r="D162" s="57"/>
      <c r="E162" s="57"/>
      <c r="F162" s="4" t="s">
        <v>823</v>
      </c>
      <c r="G162" s="15">
        <v>963</v>
      </c>
      <c r="H162" s="15">
        <v>0</v>
      </c>
      <c r="I162" s="15">
        <f>G162*AO162</f>
        <v>0</v>
      </c>
      <c r="J162" s="15">
        <f>G162*AP162</f>
        <v>0</v>
      </c>
      <c r="K162" s="15">
        <f>G162*H162</f>
        <v>0</v>
      </c>
      <c r="L162" s="27" t="s">
        <v>847</v>
      </c>
      <c r="Z162" s="32">
        <f>IF(AQ162="5",BJ162,0)</f>
        <v>0</v>
      </c>
      <c r="AB162" s="32">
        <f>IF(AQ162="1",BH162,0)</f>
        <v>0</v>
      </c>
      <c r="AC162" s="32">
        <f>IF(AQ162="1",BI162,0)</f>
        <v>0</v>
      </c>
      <c r="AD162" s="32">
        <f>IF(AQ162="7",BH162,0)</f>
        <v>0</v>
      </c>
      <c r="AE162" s="32">
        <f>IF(AQ162="7",BI162,0)</f>
        <v>0</v>
      </c>
      <c r="AF162" s="32">
        <f>IF(AQ162="2",BH162,0)</f>
        <v>0</v>
      </c>
      <c r="AG162" s="32">
        <f>IF(AQ162="2",BI162,0)</f>
        <v>0</v>
      </c>
      <c r="AH162" s="32">
        <f>IF(AQ162="0",BJ162,0)</f>
        <v>0</v>
      </c>
      <c r="AI162" s="28"/>
      <c r="AJ162" s="15">
        <f>IF(AN162=0,K162,0)</f>
        <v>0</v>
      </c>
      <c r="AK162" s="15">
        <f>IF(AN162=15,K162,0)</f>
        <v>0</v>
      </c>
      <c r="AL162" s="15">
        <f>IF(AN162=21,K162,0)</f>
        <v>0</v>
      </c>
      <c r="AN162" s="32">
        <v>21</v>
      </c>
      <c r="AO162" s="32">
        <f>H162*0</f>
        <v>0</v>
      </c>
      <c r="AP162" s="32">
        <f>H162*(1-0)</f>
        <v>0</v>
      </c>
      <c r="AQ162" s="27" t="s">
        <v>13</v>
      </c>
      <c r="AV162" s="32">
        <f>AW162+AX162</f>
        <v>0</v>
      </c>
      <c r="AW162" s="32">
        <f>G162*AO162</f>
        <v>0</v>
      </c>
      <c r="AX162" s="32">
        <f>G162*AP162</f>
        <v>0</v>
      </c>
      <c r="AY162" s="33" t="s">
        <v>868</v>
      </c>
      <c r="AZ162" s="33" t="s">
        <v>890</v>
      </c>
      <c r="BA162" s="28" t="s">
        <v>895</v>
      </c>
      <c r="BC162" s="32">
        <f>AW162+AX162</f>
        <v>0</v>
      </c>
      <c r="BD162" s="32">
        <f>H162/(100-BE162)*100</f>
        <v>0</v>
      </c>
      <c r="BE162" s="32">
        <v>0</v>
      </c>
      <c r="BF162" s="32">
        <f>160</f>
        <v>160</v>
      </c>
      <c r="BH162" s="15">
        <f>G162*AO162</f>
        <v>0</v>
      </c>
      <c r="BI162" s="15">
        <f>G162*AP162</f>
        <v>0</v>
      </c>
      <c r="BJ162" s="15">
        <f>G162*H162</f>
        <v>0</v>
      </c>
    </row>
    <row r="163" spans="1:62" x14ac:dyDescent="0.2">
      <c r="C163" s="58" t="s">
        <v>951</v>
      </c>
      <c r="D163" s="59"/>
      <c r="E163" s="59"/>
      <c r="G163" s="16">
        <v>963</v>
      </c>
    </row>
    <row r="164" spans="1:62" x14ac:dyDescent="0.2">
      <c r="A164" s="6" t="s">
        <v>55</v>
      </c>
      <c r="B164" s="6" t="s">
        <v>218</v>
      </c>
      <c r="C164" s="68" t="s">
        <v>949</v>
      </c>
      <c r="D164" s="69"/>
      <c r="E164" s="69"/>
      <c r="F164" s="6" t="s">
        <v>823</v>
      </c>
      <c r="G164" s="17">
        <v>1011.15</v>
      </c>
      <c r="H164" s="17">
        <v>0</v>
      </c>
      <c r="I164" s="17">
        <f>G164*AO164</f>
        <v>0</v>
      </c>
      <c r="J164" s="17">
        <f>G164*AP164</f>
        <v>0</v>
      </c>
      <c r="K164" s="17">
        <f>G164*H164</f>
        <v>0</v>
      </c>
      <c r="L164" s="29" t="s">
        <v>847</v>
      </c>
      <c r="Z164" s="32">
        <f>IF(AQ164="5",BJ164,0)</f>
        <v>0</v>
      </c>
      <c r="AB164" s="32">
        <f>IF(AQ164="1",BH164,0)</f>
        <v>0</v>
      </c>
      <c r="AC164" s="32">
        <f>IF(AQ164="1",BI164,0)</f>
        <v>0</v>
      </c>
      <c r="AD164" s="32">
        <f>IF(AQ164="7",BH164,0)</f>
        <v>0</v>
      </c>
      <c r="AE164" s="32">
        <f>IF(AQ164="7",BI164,0)</f>
        <v>0</v>
      </c>
      <c r="AF164" s="32">
        <f>IF(AQ164="2",BH164,0)</f>
        <v>0</v>
      </c>
      <c r="AG164" s="32">
        <f>IF(AQ164="2",BI164,0)</f>
        <v>0</v>
      </c>
      <c r="AH164" s="32">
        <f>IF(AQ164="0",BJ164,0)</f>
        <v>0</v>
      </c>
      <c r="AI164" s="28"/>
      <c r="AJ164" s="17">
        <f>IF(AN164=0,K164,0)</f>
        <v>0</v>
      </c>
      <c r="AK164" s="17">
        <f>IF(AN164=15,K164,0)</f>
        <v>0</v>
      </c>
      <c r="AL164" s="17">
        <f>IF(AN164=21,K164,0)</f>
        <v>0</v>
      </c>
      <c r="AN164" s="32">
        <v>21</v>
      </c>
      <c r="AO164" s="32">
        <f>H164*1</f>
        <v>0</v>
      </c>
      <c r="AP164" s="32">
        <f>H164*(1-1)</f>
        <v>0</v>
      </c>
      <c r="AQ164" s="29" t="s">
        <v>13</v>
      </c>
      <c r="AV164" s="32">
        <f>AW164+AX164</f>
        <v>0</v>
      </c>
      <c r="AW164" s="32">
        <f>G164*AO164</f>
        <v>0</v>
      </c>
      <c r="AX164" s="32">
        <f>G164*AP164</f>
        <v>0</v>
      </c>
      <c r="AY164" s="33" t="s">
        <v>868</v>
      </c>
      <c r="AZ164" s="33" t="s">
        <v>890</v>
      </c>
      <c r="BA164" s="28" t="s">
        <v>895</v>
      </c>
      <c r="BC164" s="32">
        <f>AW164+AX164</f>
        <v>0</v>
      </c>
      <c r="BD164" s="32">
        <f>H164/(100-BE164)*100</f>
        <v>0</v>
      </c>
      <c r="BE164" s="32">
        <v>0</v>
      </c>
      <c r="BF164" s="32">
        <f>162</f>
        <v>162</v>
      </c>
      <c r="BH164" s="17">
        <f>G164*AO164</f>
        <v>0</v>
      </c>
      <c r="BI164" s="17">
        <f>G164*AP164</f>
        <v>0</v>
      </c>
      <c r="BJ164" s="17">
        <f>G164*H164</f>
        <v>0</v>
      </c>
    </row>
    <row r="165" spans="1:62" x14ac:dyDescent="0.2">
      <c r="C165" s="58" t="s">
        <v>487</v>
      </c>
      <c r="D165" s="59"/>
      <c r="E165" s="59"/>
      <c r="G165" s="16">
        <v>1011.15</v>
      </c>
    </row>
    <row r="166" spans="1:62" x14ac:dyDescent="0.2">
      <c r="A166" s="4" t="s">
        <v>56</v>
      </c>
      <c r="B166" s="4" t="s">
        <v>219</v>
      </c>
      <c r="C166" s="56" t="s">
        <v>489</v>
      </c>
      <c r="D166" s="57"/>
      <c r="E166" s="57"/>
      <c r="F166" s="4" t="s">
        <v>823</v>
      </c>
      <c r="G166" s="15">
        <v>963</v>
      </c>
      <c r="H166" s="15">
        <v>0</v>
      </c>
      <c r="I166" s="15">
        <f>G166*AO166</f>
        <v>0</v>
      </c>
      <c r="J166" s="15">
        <f>G166*AP166</f>
        <v>0</v>
      </c>
      <c r="K166" s="15">
        <f>G166*H166</f>
        <v>0</v>
      </c>
      <c r="L166" s="27" t="s">
        <v>847</v>
      </c>
      <c r="Z166" s="32">
        <f>IF(AQ166="5",BJ166,0)</f>
        <v>0</v>
      </c>
      <c r="AB166" s="32">
        <f>IF(AQ166="1",BH166,0)</f>
        <v>0</v>
      </c>
      <c r="AC166" s="32">
        <f>IF(AQ166="1",BI166,0)</f>
        <v>0</v>
      </c>
      <c r="AD166" s="32">
        <f>IF(AQ166="7",BH166,0)</f>
        <v>0</v>
      </c>
      <c r="AE166" s="32">
        <f>IF(AQ166="7",BI166,0)</f>
        <v>0</v>
      </c>
      <c r="AF166" s="32">
        <f>IF(AQ166="2",BH166,0)</f>
        <v>0</v>
      </c>
      <c r="AG166" s="32">
        <f>IF(AQ166="2",BI166,0)</f>
        <v>0</v>
      </c>
      <c r="AH166" s="32">
        <f>IF(AQ166="0",BJ166,0)</f>
        <v>0</v>
      </c>
      <c r="AI166" s="28"/>
      <c r="AJ166" s="15">
        <f>IF(AN166=0,K166,0)</f>
        <v>0</v>
      </c>
      <c r="AK166" s="15">
        <f>IF(AN166=15,K166,0)</f>
        <v>0</v>
      </c>
      <c r="AL166" s="15">
        <f>IF(AN166=21,K166,0)</f>
        <v>0</v>
      </c>
      <c r="AN166" s="32">
        <v>21</v>
      </c>
      <c r="AO166" s="32">
        <f>H166*0</f>
        <v>0</v>
      </c>
      <c r="AP166" s="32">
        <f>H166*(1-0)</f>
        <v>0</v>
      </c>
      <c r="AQ166" s="27" t="s">
        <v>13</v>
      </c>
      <c r="AV166" s="32">
        <f>AW166+AX166</f>
        <v>0</v>
      </c>
      <c r="AW166" s="32">
        <f>G166*AO166</f>
        <v>0</v>
      </c>
      <c r="AX166" s="32">
        <f>G166*AP166</f>
        <v>0</v>
      </c>
      <c r="AY166" s="33" t="s">
        <v>868</v>
      </c>
      <c r="AZ166" s="33" t="s">
        <v>890</v>
      </c>
      <c r="BA166" s="28" t="s">
        <v>895</v>
      </c>
      <c r="BC166" s="32">
        <f>AW166+AX166</f>
        <v>0</v>
      </c>
      <c r="BD166" s="32">
        <f>H166/(100-BE166)*100</f>
        <v>0</v>
      </c>
      <c r="BE166" s="32">
        <v>0</v>
      </c>
      <c r="BF166" s="32">
        <f>164</f>
        <v>164</v>
      </c>
      <c r="BH166" s="15">
        <f>G166*AO166</f>
        <v>0</v>
      </c>
      <c r="BI166" s="15">
        <f>G166*AP166</f>
        <v>0</v>
      </c>
      <c r="BJ166" s="15">
        <f>G166*H166</f>
        <v>0</v>
      </c>
    </row>
    <row r="167" spans="1:62" x14ac:dyDescent="0.2">
      <c r="C167" s="58" t="s">
        <v>486</v>
      </c>
      <c r="D167" s="59"/>
      <c r="E167" s="59"/>
      <c r="G167" s="16">
        <v>963</v>
      </c>
    </row>
    <row r="168" spans="1:62" x14ac:dyDescent="0.2">
      <c r="A168" s="6" t="s">
        <v>57</v>
      </c>
      <c r="B168" s="6" t="s">
        <v>220</v>
      </c>
      <c r="C168" s="68" t="s">
        <v>950</v>
      </c>
      <c r="D168" s="69"/>
      <c r="E168" s="69"/>
      <c r="F168" s="6" t="s">
        <v>823</v>
      </c>
      <c r="G168" s="17">
        <v>1011.15</v>
      </c>
      <c r="H168" s="17">
        <v>0</v>
      </c>
      <c r="I168" s="17">
        <f>G168*AO168</f>
        <v>0</v>
      </c>
      <c r="J168" s="17">
        <f>G168*AP168</f>
        <v>0</v>
      </c>
      <c r="K168" s="17">
        <f>G168*H168</f>
        <v>0</v>
      </c>
      <c r="L168" s="29" t="s">
        <v>847</v>
      </c>
      <c r="Z168" s="32">
        <f>IF(AQ168="5",BJ168,0)</f>
        <v>0</v>
      </c>
      <c r="AB168" s="32">
        <f>IF(AQ168="1",BH168,0)</f>
        <v>0</v>
      </c>
      <c r="AC168" s="32">
        <f>IF(AQ168="1",BI168,0)</f>
        <v>0</v>
      </c>
      <c r="AD168" s="32">
        <f>IF(AQ168="7",BH168,0)</f>
        <v>0</v>
      </c>
      <c r="AE168" s="32">
        <f>IF(AQ168="7",BI168,0)</f>
        <v>0</v>
      </c>
      <c r="AF168" s="32">
        <f>IF(AQ168="2",BH168,0)</f>
        <v>0</v>
      </c>
      <c r="AG168" s="32">
        <f>IF(AQ168="2",BI168,0)</f>
        <v>0</v>
      </c>
      <c r="AH168" s="32">
        <f>IF(AQ168="0",BJ168,0)</f>
        <v>0</v>
      </c>
      <c r="AI168" s="28"/>
      <c r="AJ168" s="17">
        <f>IF(AN168=0,K168,0)</f>
        <v>0</v>
      </c>
      <c r="AK168" s="17">
        <f>IF(AN168=15,K168,0)</f>
        <v>0</v>
      </c>
      <c r="AL168" s="17">
        <f>IF(AN168=21,K168,0)</f>
        <v>0</v>
      </c>
      <c r="AN168" s="32">
        <v>21</v>
      </c>
      <c r="AO168" s="32">
        <f>H168*1</f>
        <v>0</v>
      </c>
      <c r="AP168" s="32">
        <f>H168*(1-1)</f>
        <v>0</v>
      </c>
      <c r="AQ168" s="29" t="s">
        <v>13</v>
      </c>
      <c r="AV168" s="32">
        <f>AW168+AX168</f>
        <v>0</v>
      </c>
      <c r="AW168" s="32">
        <f>G168*AO168</f>
        <v>0</v>
      </c>
      <c r="AX168" s="32">
        <f>G168*AP168</f>
        <v>0</v>
      </c>
      <c r="AY168" s="33" t="s">
        <v>868</v>
      </c>
      <c r="AZ168" s="33" t="s">
        <v>890</v>
      </c>
      <c r="BA168" s="28" t="s">
        <v>895</v>
      </c>
      <c r="BC168" s="32">
        <f>AW168+AX168</f>
        <v>0</v>
      </c>
      <c r="BD168" s="32">
        <f>H168/(100-BE168)*100</f>
        <v>0</v>
      </c>
      <c r="BE168" s="32">
        <v>0</v>
      </c>
      <c r="BF168" s="32">
        <f>166</f>
        <v>166</v>
      </c>
      <c r="BH168" s="17">
        <f>G168*AO168</f>
        <v>0</v>
      </c>
      <c r="BI168" s="17">
        <f>G168*AP168</f>
        <v>0</v>
      </c>
      <c r="BJ168" s="17">
        <f>G168*H168</f>
        <v>0</v>
      </c>
    </row>
    <row r="169" spans="1:62" x14ac:dyDescent="0.2">
      <c r="C169" s="58" t="s">
        <v>487</v>
      </c>
      <c r="D169" s="59"/>
      <c r="E169" s="59"/>
      <c r="G169" s="16">
        <v>1011.15</v>
      </c>
    </row>
    <row r="170" spans="1:62" x14ac:dyDescent="0.2">
      <c r="A170" s="4" t="s">
        <v>58</v>
      </c>
      <c r="B170" s="4" t="s">
        <v>221</v>
      </c>
      <c r="C170" s="56" t="s">
        <v>490</v>
      </c>
      <c r="D170" s="57"/>
      <c r="E170" s="57"/>
      <c r="F170" s="4" t="s">
        <v>828</v>
      </c>
      <c r="G170" s="15">
        <v>6.5226499999999996</v>
      </c>
      <c r="H170" s="15">
        <v>0</v>
      </c>
      <c r="I170" s="15">
        <f>G170*AO170</f>
        <v>0</v>
      </c>
      <c r="J170" s="15">
        <f>G170*AP170</f>
        <v>0</v>
      </c>
      <c r="K170" s="15">
        <f>G170*H170</f>
        <v>0</v>
      </c>
      <c r="L170" s="27" t="s">
        <v>846</v>
      </c>
      <c r="Z170" s="32">
        <f>IF(AQ170="5",BJ170,0)</f>
        <v>0</v>
      </c>
      <c r="AB170" s="32">
        <f>IF(AQ170="1",BH170,0)</f>
        <v>0</v>
      </c>
      <c r="AC170" s="32">
        <f>IF(AQ170="1",BI170,0)</f>
        <v>0</v>
      </c>
      <c r="AD170" s="32">
        <f>IF(AQ170="7",BH170,0)</f>
        <v>0</v>
      </c>
      <c r="AE170" s="32">
        <f>IF(AQ170="7",BI170,0)</f>
        <v>0</v>
      </c>
      <c r="AF170" s="32">
        <f>IF(AQ170="2",BH170,0)</f>
        <v>0</v>
      </c>
      <c r="AG170" s="32">
        <f>IF(AQ170="2",BI170,0)</f>
        <v>0</v>
      </c>
      <c r="AH170" s="32">
        <f>IF(AQ170="0",BJ170,0)</f>
        <v>0</v>
      </c>
      <c r="AI170" s="28"/>
      <c r="AJ170" s="15">
        <f>IF(AN170=0,K170,0)</f>
        <v>0</v>
      </c>
      <c r="AK170" s="15">
        <f>IF(AN170=15,K170,0)</f>
        <v>0</v>
      </c>
      <c r="AL170" s="15">
        <f>IF(AN170=21,K170,0)</f>
        <v>0</v>
      </c>
      <c r="AN170" s="32">
        <v>21</v>
      </c>
      <c r="AO170" s="32">
        <f>H170*0</f>
        <v>0</v>
      </c>
      <c r="AP170" s="32">
        <f>H170*(1-0)</f>
        <v>0</v>
      </c>
      <c r="AQ170" s="27" t="s">
        <v>11</v>
      </c>
      <c r="AV170" s="32">
        <f>AW170+AX170</f>
        <v>0</v>
      </c>
      <c r="AW170" s="32">
        <f>G170*AO170</f>
        <v>0</v>
      </c>
      <c r="AX170" s="32">
        <f>G170*AP170</f>
        <v>0</v>
      </c>
      <c r="AY170" s="33" t="s">
        <v>868</v>
      </c>
      <c r="AZ170" s="33" t="s">
        <v>890</v>
      </c>
      <c r="BA170" s="28" t="s">
        <v>895</v>
      </c>
      <c r="BC170" s="32">
        <f>AW170+AX170</f>
        <v>0</v>
      </c>
      <c r="BD170" s="32">
        <f>H170/(100-BE170)*100</f>
        <v>0</v>
      </c>
      <c r="BE170" s="32">
        <v>0</v>
      </c>
      <c r="BF170" s="32">
        <f>168</f>
        <v>168</v>
      </c>
      <c r="BH170" s="15">
        <f>G170*AO170</f>
        <v>0</v>
      </c>
      <c r="BI170" s="15">
        <f>G170*AP170</f>
        <v>0</v>
      </c>
      <c r="BJ170" s="15">
        <f>G170*H170</f>
        <v>0</v>
      </c>
    </row>
    <row r="171" spans="1:62" x14ac:dyDescent="0.2">
      <c r="C171" s="58" t="s">
        <v>491</v>
      </c>
      <c r="D171" s="59"/>
      <c r="E171" s="59"/>
      <c r="G171" s="16">
        <v>6.5226499999999996</v>
      </c>
    </row>
    <row r="172" spans="1:62" x14ac:dyDescent="0.2">
      <c r="A172" s="5"/>
      <c r="B172" s="13" t="s">
        <v>222</v>
      </c>
      <c r="C172" s="66" t="s">
        <v>492</v>
      </c>
      <c r="D172" s="67"/>
      <c r="E172" s="67"/>
      <c r="F172" s="5" t="s">
        <v>6</v>
      </c>
      <c r="G172" s="5" t="s">
        <v>6</v>
      </c>
      <c r="H172" s="5" t="s">
        <v>6</v>
      </c>
      <c r="I172" s="35">
        <f>SUM(I173:I186)</f>
        <v>0</v>
      </c>
      <c r="J172" s="35">
        <f>SUM(J173:J186)</f>
        <v>0</v>
      </c>
      <c r="K172" s="35">
        <f>SUM(K173:K186)</f>
        <v>0</v>
      </c>
      <c r="L172" s="28"/>
      <c r="AI172" s="28"/>
      <c r="AS172" s="35">
        <f>SUM(AJ173:AJ186)</f>
        <v>0</v>
      </c>
      <c r="AT172" s="35">
        <f>SUM(AK173:AK186)</f>
        <v>0</v>
      </c>
      <c r="AU172" s="35">
        <f>SUM(AL173:AL186)</f>
        <v>0</v>
      </c>
    </row>
    <row r="173" spans="1:62" x14ac:dyDescent="0.2">
      <c r="A173" s="4" t="s">
        <v>59</v>
      </c>
      <c r="B173" s="4" t="s">
        <v>223</v>
      </c>
      <c r="C173" s="56" t="s">
        <v>493</v>
      </c>
      <c r="D173" s="57"/>
      <c r="E173" s="57"/>
      <c r="F173" s="4" t="s">
        <v>823</v>
      </c>
      <c r="G173" s="15">
        <v>892</v>
      </c>
      <c r="H173" s="15">
        <v>0</v>
      </c>
      <c r="I173" s="15">
        <f>G173*AO173</f>
        <v>0</v>
      </c>
      <c r="J173" s="15">
        <f>G173*AP173</f>
        <v>0</v>
      </c>
      <c r="K173" s="15">
        <f>G173*H173</f>
        <v>0</v>
      </c>
      <c r="L173" s="27" t="s">
        <v>846</v>
      </c>
      <c r="Z173" s="32">
        <f>IF(AQ173="5",BJ173,0)</f>
        <v>0</v>
      </c>
      <c r="AB173" s="32">
        <f>IF(AQ173="1",BH173,0)</f>
        <v>0</v>
      </c>
      <c r="AC173" s="32">
        <f>IF(AQ173="1",BI173,0)</f>
        <v>0</v>
      </c>
      <c r="AD173" s="32">
        <f>IF(AQ173="7",BH173,0)</f>
        <v>0</v>
      </c>
      <c r="AE173" s="32">
        <f>IF(AQ173="7",BI173,0)</f>
        <v>0</v>
      </c>
      <c r="AF173" s="32">
        <f>IF(AQ173="2",BH173,0)</f>
        <v>0</v>
      </c>
      <c r="AG173" s="32">
        <f>IF(AQ173="2",BI173,0)</f>
        <v>0</v>
      </c>
      <c r="AH173" s="32">
        <f>IF(AQ173="0",BJ173,0)</f>
        <v>0</v>
      </c>
      <c r="AI173" s="28"/>
      <c r="AJ173" s="15">
        <f>IF(AN173=0,K173,0)</f>
        <v>0</v>
      </c>
      <c r="AK173" s="15">
        <f>IF(AN173=15,K173,0)</f>
        <v>0</v>
      </c>
      <c r="AL173" s="15">
        <f>IF(AN173=21,K173,0)</f>
        <v>0</v>
      </c>
      <c r="AN173" s="32">
        <v>21</v>
      </c>
      <c r="AO173" s="32">
        <f>H173*0</f>
        <v>0</v>
      </c>
      <c r="AP173" s="32">
        <f>H173*(1-0)</f>
        <v>0</v>
      </c>
      <c r="AQ173" s="27" t="s">
        <v>13</v>
      </c>
      <c r="AV173" s="32">
        <f>AW173+AX173</f>
        <v>0</v>
      </c>
      <c r="AW173" s="32">
        <f>G173*AO173</f>
        <v>0</v>
      </c>
      <c r="AX173" s="32">
        <f>G173*AP173</f>
        <v>0</v>
      </c>
      <c r="AY173" s="33" t="s">
        <v>869</v>
      </c>
      <c r="AZ173" s="33" t="s">
        <v>890</v>
      </c>
      <c r="BA173" s="28" t="s">
        <v>895</v>
      </c>
      <c r="BC173" s="32">
        <f>AW173+AX173</f>
        <v>0</v>
      </c>
      <c r="BD173" s="32">
        <f>H173/(100-BE173)*100</f>
        <v>0</v>
      </c>
      <c r="BE173" s="32">
        <v>0</v>
      </c>
      <c r="BF173" s="32">
        <f>171</f>
        <v>171</v>
      </c>
      <c r="BH173" s="15">
        <f>G173*AO173</f>
        <v>0</v>
      </c>
      <c r="BI173" s="15">
        <f>G173*AP173</f>
        <v>0</v>
      </c>
      <c r="BJ173" s="15">
        <f>G173*H173</f>
        <v>0</v>
      </c>
    </row>
    <row r="174" spans="1:62" x14ac:dyDescent="0.2">
      <c r="C174" s="58" t="s">
        <v>471</v>
      </c>
      <c r="D174" s="59"/>
      <c r="E174" s="59"/>
      <c r="G174" s="16">
        <v>892</v>
      </c>
    </row>
    <row r="175" spans="1:62" x14ac:dyDescent="0.2">
      <c r="A175" s="4" t="s">
        <v>60</v>
      </c>
      <c r="B175" s="4" t="s">
        <v>224</v>
      </c>
      <c r="C175" s="56" t="s">
        <v>494</v>
      </c>
      <c r="D175" s="57"/>
      <c r="E175" s="57"/>
      <c r="F175" s="4" t="s">
        <v>823</v>
      </c>
      <c r="G175" s="15">
        <v>962.5</v>
      </c>
      <c r="H175" s="15">
        <v>0</v>
      </c>
      <c r="I175" s="15">
        <f>G175*AO175</f>
        <v>0</v>
      </c>
      <c r="J175" s="15">
        <f>G175*AP175</f>
        <v>0</v>
      </c>
      <c r="K175" s="15">
        <f>G175*H175</f>
        <v>0</v>
      </c>
      <c r="L175" s="27" t="s">
        <v>846</v>
      </c>
      <c r="Z175" s="32">
        <f>IF(AQ175="5",BJ175,0)</f>
        <v>0</v>
      </c>
      <c r="AB175" s="32">
        <f>IF(AQ175="1",BH175,0)</f>
        <v>0</v>
      </c>
      <c r="AC175" s="32">
        <f>IF(AQ175="1",BI175,0)</f>
        <v>0</v>
      </c>
      <c r="AD175" s="32">
        <f>IF(AQ175="7",BH175,0)</f>
        <v>0</v>
      </c>
      <c r="AE175" s="32">
        <f>IF(AQ175="7",BI175,0)</f>
        <v>0</v>
      </c>
      <c r="AF175" s="32">
        <f>IF(AQ175="2",BH175,0)</f>
        <v>0</v>
      </c>
      <c r="AG175" s="32">
        <f>IF(AQ175="2",BI175,0)</f>
        <v>0</v>
      </c>
      <c r="AH175" s="32">
        <f>IF(AQ175="0",BJ175,0)</f>
        <v>0</v>
      </c>
      <c r="AI175" s="28"/>
      <c r="AJ175" s="15">
        <f>IF(AN175=0,K175,0)</f>
        <v>0</v>
      </c>
      <c r="AK175" s="15">
        <f>IF(AN175=15,K175,0)</f>
        <v>0</v>
      </c>
      <c r="AL175" s="15">
        <f>IF(AN175=21,K175,0)</f>
        <v>0</v>
      </c>
      <c r="AN175" s="32">
        <v>21</v>
      </c>
      <c r="AO175" s="32">
        <f>H175*0.269121338912134</f>
        <v>0</v>
      </c>
      <c r="AP175" s="32">
        <f>H175*(1-0.269121338912134)</f>
        <v>0</v>
      </c>
      <c r="AQ175" s="27" t="s">
        <v>13</v>
      </c>
      <c r="AV175" s="32">
        <f>AW175+AX175</f>
        <v>0</v>
      </c>
      <c r="AW175" s="32">
        <f>G175*AO175</f>
        <v>0</v>
      </c>
      <c r="AX175" s="32">
        <f>G175*AP175</f>
        <v>0</v>
      </c>
      <c r="AY175" s="33" t="s">
        <v>869</v>
      </c>
      <c r="AZ175" s="33" t="s">
        <v>890</v>
      </c>
      <c r="BA175" s="28" t="s">
        <v>895</v>
      </c>
      <c r="BC175" s="32">
        <f>AW175+AX175</f>
        <v>0</v>
      </c>
      <c r="BD175" s="32">
        <f>H175/(100-BE175)*100</f>
        <v>0</v>
      </c>
      <c r="BE175" s="32">
        <v>0</v>
      </c>
      <c r="BF175" s="32">
        <f>173</f>
        <v>173</v>
      </c>
      <c r="BH175" s="15">
        <f>G175*AO175</f>
        <v>0</v>
      </c>
      <c r="BI175" s="15">
        <f>G175*AP175</f>
        <v>0</v>
      </c>
      <c r="BJ175" s="15">
        <f>G175*H175</f>
        <v>0</v>
      </c>
    </row>
    <row r="176" spans="1:62" x14ac:dyDescent="0.2">
      <c r="C176" s="58" t="s">
        <v>495</v>
      </c>
      <c r="D176" s="59"/>
      <c r="E176" s="59"/>
      <c r="G176" s="16">
        <v>892</v>
      </c>
    </row>
    <row r="177" spans="1:62" x14ac:dyDescent="0.2">
      <c r="C177" s="58" t="s">
        <v>496</v>
      </c>
      <c r="D177" s="59"/>
      <c r="E177" s="59"/>
      <c r="G177" s="16">
        <v>70.5</v>
      </c>
    </row>
    <row r="178" spans="1:62" x14ac:dyDescent="0.2">
      <c r="A178" s="6" t="s">
        <v>61</v>
      </c>
      <c r="B178" s="6" t="s">
        <v>225</v>
      </c>
      <c r="C178" s="68" t="s">
        <v>497</v>
      </c>
      <c r="D178" s="69"/>
      <c r="E178" s="69"/>
      <c r="F178" s="6" t="s">
        <v>824</v>
      </c>
      <c r="G178" s="17">
        <v>222.31562</v>
      </c>
      <c r="H178" s="17">
        <v>0</v>
      </c>
      <c r="I178" s="17">
        <f>G178*AO178</f>
        <v>0</v>
      </c>
      <c r="J178" s="17">
        <f>G178*AP178</f>
        <v>0</v>
      </c>
      <c r="K178" s="17">
        <f>G178*H178</f>
        <v>0</v>
      </c>
      <c r="L178" s="29" t="s">
        <v>846</v>
      </c>
      <c r="Z178" s="32">
        <f>IF(AQ178="5",BJ178,0)</f>
        <v>0</v>
      </c>
      <c r="AB178" s="32">
        <f>IF(AQ178="1",BH178,0)</f>
        <v>0</v>
      </c>
      <c r="AC178" s="32">
        <f>IF(AQ178="1",BI178,0)</f>
        <v>0</v>
      </c>
      <c r="AD178" s="32">
        <f>IF(AQ178="7",BH178,0)</f>
        <v>0</v>
      </c>
      <c r="AE178" s="32">
        <f>IF(AQ178="7",BI178,0)</f>
        <v>0</v>
      </c>
      <c r="AF178" s="32">
        <f>IF(AQ178="2",BH178,0)</f>
        <v>0</v>
      </c>
      <c r="AG178" s="32">
        <f>IF(AQ178="2",BI178,0)</f>
        <v>0</v>
      </c>
      <c r="AH178" s="32">
        <f>IF(AQ178="0",BJ178,0)</f>
        <v>0</v>
      </c>
      <c r="AI178" s="28"/>
      <c r="AJ178" s="17">
        <f>IF(AN178=0,K178,0)</f>
        <v>0</v>
      </c>
      <c r="AK178" s="17">
        <f>IF(AN178=15,K178,0)</f>
        <v>0</v>
      </c>
      <c r="AL178" s="17">
        <f>IF(AN178=21,K178,0)</f>
        <v>0</v>
      </c>
      <c r="AN178" s="32">
        <v>21</v>
      </c>
      <c r="AO178" s="32">
        <f>H178*1</f>
        <v>0</v>
      </c>
      <c r="AP178" s="32">
        <f>H178*(1-1)</f>
        <v>0</v>
      </c>
      <c r="AQ178" s="29" t="s">
        <v>13</v>
      </c>
      <c r="AV178" s="32">
        <f>AW178+AX178</f>
        <v>0</v>
      </c>
      <c r="AW178" s="32">
        <f>G178*AO178</f>
        <v>0</v>
      </c>
      <c r="AX178" s="32">
        <f>G178*AP178</f>
        <v>0</v>
      </c>
      <c r="AY178" s="33" t="s">
        <v>869</v>
      </c>
      <c r="AZ178" s="33" t="s">
        <v>890</v>
      </c>
      <c r="BA178" s="28" t="s">
        <v>895</v>
      </c>
      <c r="BC178" s="32">
        <f>AW178+AX178</f>
        <v>0</v>
      </c>
      <c r="BD178" s="32">
        <f>H178/(100-BE178)*100</f>
        <v>0</v>
      </c>
      <c r="BE178" s="32">
        <v>0</v>
      </c>
      <c r="BF178" s="32">
        <f>176</f>
        <v>176</v>
      </c>
      <c r="BH178" s="17">
        <f>G178*AO178</f>
        <v>0</v>
      </c>
      <c r="BI178" s="17">
        <f>G178*AP178</f>
        <v>0</v>
      </c>
      <c r="BJ178" s="17">
        <f>G178*H178</f>
        <v>0</v>
      </c>
    </row>
    <row r="179" spans="1:62" x14ac:dyDescent="0.2">
      <c r="C179" s="58" t="s">
        <v>498</v>
      </c>
      <c r="D179" s="59"/>
      <c r="E179" s="59"/>
      <c r="G179" s="16">
        <v>214.08</v>
      </c>
    </row>
    <row r="180" spans="1:62" x14ac:dyDescent="0.2">
      <c r="C180" s="58" t="s">
        <v>499</v>
      </c>
      <c r="D180" s="59"/>
      <c r="E180" s="59"/>
      <c r="G180" s="16">
        <v>5.64</v>
      </c>
    </row>
    <row r="181" spans="1:62" x14ac:dyDescent="0.2">
      <c r="C181" s="58" t="s">
        <v>500</v>
      </c>
      <c r="D181" s="59"/>
      <c r="E181" s="59"/>
      <c r="G181" s="16">
        <v>4.3944000000000001</v>
      </c>
    </row>
    <row r="182" spans="1:62" x14ac:dyDescent="0.2">
      <c r="C182" s="58" t="s">
        <v>501</v>
      </c>
      <c r="D182" s="59"/>
      <c r="E182" s="59"/>
      <c r="G182" s="16">
        <v>-1.79878</v>
      </c>
    </row>
    <row r="183" spans="1:62" x14ac:dyDescent="0.2">
      <c r="A183" s="6" t="s">
        <v>62</v>
      </c>
      <c r="B183" s="6" t="s">
        <v>226</v>
      </c>
      <c r="C183" s="68" t="s">
        <v>952</v>
      </c>
      <c r="D183" s="69"/>
      <c r="E183" s="69"/>
      <c r="F183" s="6" t="s">
        <v>823</v>
      </c>
      <c r="G183" s="17">
        <v>7.4919000000000002</v>
      </c>
      <c r="H183" s="17">
        <v>0</v>
      </c>
      <c r="I183" s="17">
        <f>G183*AO183</f>
        <v>0</v>
      </c>
      <c r="J183" s="17">
        <f>G183*AP183</f>
        <v>0</v>
      </c>
      <c r="K183" s="17">
        <f>G183*H183</f>
        <v>0</v>
      </c>
      <c r="L183" s="29" t="s">
        <v>847</v>
      </c>
      <c r="Z183" s="32">
        <f>IF(AQ183="5",BJ183,0)</f>
        <v>0</v>
      </c>
      <c r="AB183" s="32">
        <f>IF(AQ183="1",BH183,0)</f>
        <v>0</v>
      </c>
      <c r="AC183" s="32">
        <f>IF(AQ183="1",BI183,0)</f>
        <v>0</v>
      </c>
      <c r="AD183" s="32">
        <f>IF(AQ183="7",BH183,0)</f>
        <v>0</v>
      </c>
      <c r="AE183" s="32">
        <f>IF(AQ183="7",BI183,0)</f>
        <v>0</v>
      </c>
      <c r="AF183" s="32">
        <f>IF(AQ183="2",BH183,0)</f>
        <v>0</v>
      </c>
      <c r="AG183" s="32">
        <f>IF(AQ183="2",BI183,0)</f>
        <v>0</v>
      </c>
      <c r="AH183" s="32">
        <f>IF(AQ183="0",BJ183,0)</f>
        <v>0</v>
      </c>
      <c r="AI183" s="28"/>
      <c r="AJ183" s="17">
        <f>IF(AN183=0,K183,0)</f>
        <v>0</v>
      </c>
      <c r="AK183" s="17">
        <f>IF(AN183=15,K183,0)</f>
        <v>0</v>
      </c>
      <c r="AL183" s="17">
        <f>IF(AN183=21,K183,0)</f>
        <v>0</v>
      </c>
      <c r="AN183" s="32">
        <v>21</v>
      </c>
      <c r="AO183" s="32">
        <f>H183*1</f>
        <v>0</v>
      </c>
      <c r="AP183" s="32">
        <f>H183*(1-1)</f>
        <v>0</v>
      </c>
      <c r="AQ183" s="29" t="s">
        <v>13</v>
      </c>
      <c r="AV183" s="32">
        <f>AW183+AX183</f>
        <v>0</v>
      </c>
      <c r="AW183" s="32">
        <f>G183*AO183</f>
        <v>0</v>
      </c>
      <c r="AX183" s="32">
        <f>G183*AP183</f>
        <v>0</v>
      </c>
      <c r="AY183" s="33" t="s">
        <v>869</v>
      </c>
      <c r="AZ183" s="33" t="s">
        <v>890</v>
      </c>
      <c r="BA183" s="28" t="s">
        <v>895</v>
      </c>
      <c r="BC183" s="32">
        <f>AW183+AX183</f>
        <v>0</v>
      </c>
      <c r="BD183" s="32">
        <f>H183/(100-BE183)*100</f>
        <v>0</v>
      </c>
      <c r="BE183" s="32">
        <v>0</v>
      </c>
      <c r="BF183" s="32">
        <f>181</f>
        <v>181</v>
      </c>
      <c r="BH183" s="17">
        <f>G183*AO183</f>
        <v>0</v>
      </c>
      <c r="BI183" s="17">
        <f>G183*AP183</f>
        <v>0</v>
      </c>
      <c r="BJ183" s="17">
        <f>G183*H183</f>
        <v>0</v>
      </c>
    </row>
    <row r="184" spans="1:62" x14ac:dyDescent="0.2">
      <c r="C184" s="58" t="s">
        <v>502</v>
      </c>
      <c r="D184" s="59"/>
      <c r="E184" s="59"/>
      <c r="G184" s="16">
        <v>7.3449999999999998</v>
      </c>
    </row>
    <row r="185" spans="1:62" x14ac:dyDescent="0.2">
      <c r="C185" s="58" t="s">
        <v>503</v>
      </c>
      <c r="D185" s="59"/>
      <c r="E185" s="59"/>
      <c r="G185" s="16">
        <v>0.1469</v>
      </c>
    </row>
    <row r="186" spans="1:62" x14ac:dyDescent="0.2">
      <c r="A186" s="4" t="s">
        <v>63</v>
      </c>
      <c r="B186" s="4" t="s">
        <v>227</v>
      </c>
      <c r="C186" s="56" t="s">
        <v>504</v>
      </c>
      <c r="D186" s="57"/>
      <c r="E186" s="57"/>
      <c r="F186" s="4" t="s">
        <v>828</v>
      </c>
      <c r="G186" s="15">
        <v>6.7054299999999998</v>
      </c>
      <c r="H186" s="15">
        <v>0</v>
      </c>
      <c r="I186" s="15">
        <f>G186*AO186</f>
        <v>0</v>
      </c>
      <c r="J186" s="15">
        <f>G186*AP186</f>
        <v>0</v>
      </c>
      <c r="K186" s="15">
        <f>G186*H186</f>
        <v>0</v>
      </c>
      <c r="L186" s="27" t="s">
        <v>846</v>
      </c>
      <c r="Z186" s="32">
        <f>IF(AQ186="5",BJ186,0)</f>
        <v>0</v>
      </c>
      <c r="AB186" s="32">
        <f>IF(AQ186="1",BH186,0)</f>
        <v>0</v>
      </c>
      <c r="AC186" s="32">
        <f>IF(AQ186="1",BI186,0)</f>
        <v>0</v>
      </c>
      <c r="AD186" s="32">
        <f>IF(AQ186="7",BH186,0)</f>
        <v>0</v>
      </c>
      <c r="AE186" s="32">
        <f>IF(AQ186="7",BI186,0)</f>
        <v>0</v>
      </c>
      <c r="AF186" s="32">
        <f>IF(AQ186="2",BH186,0)</f>
        <v>0</v>
      </c>
      <c r="AG186" s="32">
        <f>IF(AQ186="2",BI186,0)</f>
        <v>0</v>
      </c>
      <c r="AH186" s="32">
        <f>IF(AQ186="0",BJ186,0)</f>
        <v>0</v>
      </c>
      <c r="AI186" s="28"/>
      <c r="AJ186" s="15">
        <f>IF(AN186=0,K186,0)</f>
        <v>0</v>
      </c>
      <c r="AK186" s="15">
        <f>IF(AN186=15,K186,0)</f>
        <v>0</v>
      </c>
      <c r="AL186" s="15">
        <f>IF(AN186=21,K186,0)</f>
        <v>0</v>
      </c>
      <c r="AN186" s="32">
        <v>21</v>
      </c>
      <c r="AO186" s="32">
        <f>H186*0</f>
        <v>0</v>
      </c>
      <c r="AP186" s="32">
        <f>H186*(1-0)</f>
        <v>0</v>
      </c>
      <c r="AQ186" s="27" t="s">
        <v>11</v>
      </c>
      <c r="AV186" s="32">
        <f>AW186+AX186</f>
        <v>0</v>
      </c>
      <c r="AW186" s="32">
        <f>G186*AO186</f>
        <v>0</v>
      </c>
      <c r="AX186" s="32">
        <f>G186*AP186</f>
        <v>0</v>
      </c>
      <c r="AY186" s="33" t="s">
        <v>869</v>
      </c>
      <c r="AZ186" s="33" t="s">
        <v>890</v>
      </c>
      <c r="BA186" s="28" t="s">
        <v>895</v>
      </c>
      <c r="BC186" s="32">
        <f>AW186+AX186</f>
        <v>0</v>
      </c>
      <c r="BD186" s="32">
        <f>H186/(100-BE186)*100</f>
        <v>0</v>
      </c>
      <c r="BE186" s="32">
        <v>0</v>
      </c>
      <c r="BF186" s="32">
        <f>184</f>
        <v>184</v>
      </c>
      <c r="BH186" s="15">
        <f>G186*AO186</f>
        <v>0</v>
      </c>
      <c r="BI186" s="15">
        <f>G186*AP186</f>
        <v>0</v>
      </c>
      <c r="BJ186" s="15">
        <f>G186*H186</f>
        <v>0</v>
      </c>
    </row>
    <row r="187" spans="1:62" x14ac:dyDescent="0.2">
      <c r="C187" s="58" t="s">
        <v>505</v>
      </c>
      <c r="D187" s="59"/>
      <c r="E187" s="59"/>
      <c r="G187" s="16">
        <v>6.7054299999999998</v>
      </c>
    </row>
    <row r="188" spans="1:62" x14ac:dyDescent="0.2">
      <c r="A188" s="5"/>
      <c r="B188" s="13" t="s">
        <v>228</v>
      </c>
      <c r="C188" s="66" t="s">
        <v>506</v>
      </c>
      <c r="D188" s="67"/>
      <c r="E188" s="67"/>
      <c r="F188" s="5" t="s">
        <v>6</v>
      </c>
      <c r="G188" s="5" t="s">
        <v>6</v>
      </c>
      <c r="H188" s="5" t="s">
        <v>6</v>
      </c>
      <c r="I188" s="35">
        <f>SUM(I189:I189)</f>
        <v>0</v>
      </c>
      <c r="J188" s="35">
        <f>SUM(J189:J189)</f>
        <v>0</v>
      </c>
      <c r="K188" s="35">
        <f>SUM(K189:K189)</f>
        <v>0</v>
      </c>
      <c r="L188" s="28"/>
      <c r="AI188" s="28"/>
      <c r="AS188" s="35">
        <f>SUM(AJ189:AJ189)</f>
        <v>0</v>
      </c>
      <c r="AT188" s="35">
        <f>SUM(AK189:AK189)</f>
        <v>0</v>
      </c>
      <c r="AU188" s="35">
        <f>SUM(AL189:AL189)</f>
        <v>0</v>
      </c>
    </row>
    <row r="189" spans="1:62" x14ac:dyDescent="0.2">
      <c r="A189" s="4" t="s">
        <v>64</v>
      </c>
      <c r="B189" s="4" t="s">
        <v>229</v>
      </c>
      <c r="C189" s="56" t="s">
        <v>507</v>
      </c>
      <c r="D189" s="57"/>
      <c r="E189" s="57"/>
      <c r="F189" s="4" t="s">
        <v>827</v>
      </c>
      <c r="G189" s="15">
        <v>4</v>
      </c>
      <c r="H189" s="15">
        <v>0</v>
      </c>
      <c r="I189" s="15">
        <f>G189*AO189</f>
        <v>0</v>
      </c>
      <c r="J189" s="15">
        <f>G189*AP189</f>
        <v>0</v>
      </c>
      <c r="K189" s="15">
        <f>G189*H189</f>
        <v>0</v>
      </c>
      <c r="L189" s="27" t="s">
        <v>846</v>
      </c>
      <c r="Z189" s="32">
        <f>IF(AQ189="5",BJ189,0)</f>
        <v>0</v>
      </c>
      <c r="AB189" s="32">
        <f>IF(AQ189="1",BH189,0)</f>
        <v>0</v>
      </c>
      <c r="AC189" s="32">
        <f>IF(AQ189="1",BI189,0)</f>
        <v>0</v>
      </c>
      <c r="AD189" s="32">
        <f>IF(AQ189="7",BH189,0)</f>
        <v>0</v>
      </c>
      <c r="AE189" s="32">
        <f>IF(AQ189="7",BI189,0)</f>
        <v>0</v>
      </c>
      <c r="AF189" s="32">
        <f>IF(AQ189="2",BH189,0)</f>
        <v>0</v>
      </c>
      <c r="AG189" s="32">
        <f>IF(AQ189="2",BI189,0)</f>
        <v>0</v>
      </c>
      <c r="AH189" s="32">
        <f>IF(AQ189="0",BJ189,0)</f>
        <v>0</v>
      </c>
      <c r="AI189" s="28"/>
      <c r="AJ189" s="15">
        <f>IF(AN189=0,K189,0)</f>
        <v>0</v>
      </c>
      <c r="AK189" s="15">
        <f>IF(AN189=15,K189,0)</f>
        <v>0</v>
      </c>
      <c r="AL189" s="15">
        <f>IF(AN189=21,K189,0)</f>
        <v>0</v>
      </c>
      <c r="AN189" s="32">
        <v>21</v>
      </c>
      <c r="AO189" s="32">
        <f>H189*0</f>
        <v>0</v>
      </c>
      <c r="AP189" s="32">
        <f>H189*(1-0)</f>
        <v>0</v>
      </c>
      <c r="AQ189" s="27" t="s">
        <v>13</v>
      </c>
      <c r="AV189" s="32">
        <f>AW189+AX189</f>
        <v>0</v>
      </c>
      <c r="AW189" s="32">
        <f>G189*AO189</f>
        <v>0</v>
      </c>
      <c r="AX189" s="32">
        <f>G189*AP189</f>
        <v>0</v>
      </c>
      <c r="AY189" s="33" t="s">
        <v>870</v>
      </c>
      <c r="AZ189" s="33" t="s">
        <v>891</v>
      </c>
      <c r="BA189" s="28" t="s">
        <v>895</v>
      </c>
      <c r="BC189" s="32">
        <f>AW189+AX189</f>
        <v>0</v>
      </c>
      <c r="BD189" s="32">
        <f>H189/(100-BE189)*100</f>
        <v>0</v>
      </c>
      <c r="BE189" s="32">
        <v>0</v>
      </c>
      <c r="BF189" s="32">
        <f>187</f>
        <v>187</v>
      </c>
      <c r="BH189" s="15">
        <f>G189*AO189</f>
        <v>0</v>
      </c>
      <c r="BI189" s="15">
        <f>G189*AP189</f>
        <v>0</v>
      </c>
      <c r="BJ189" s="15">
        <f>G189*H189</f>
        <v>0</v>
      </c>
    </row>
    <row r="190" spans="1:62" x14ac:dyDescent="0.2">
      <c r="C190" s="58" t="s">
        <v>508</v>
      </c>
      <c r="D190" s="59"/>
      <c r="E190" s="59"/>
      <c r="G190" s="16">
        <v>4</v>
      </c>
    </row>
    <row r="191" spans="1:62" x14ac:dyDescent="0.2">
      <c r="A191" s="5"/>
      <c r="B191" s="13" t="s">
        <v>230</v>
      </c>
      <c r="C191" s="66" t="s">
        <v>509</v>
      </c>
      <c r="D191" s="67"/>
      <c r="E191" s="67"/>
      <c r="F191" s="5" t="s">
        <v>6</v>
      </c>
      <c r="G191" s="5" t="s">
        <v>6</v>
      </c>
      <c r="H191" s="5" t="s">
        <v>6</v>
      </c>
      <c r="I191" s="35">
        <f>SUM(I192:I202)</f>
        <v>0</v>
      </c>
      <c r="J191" s="35">
        <f>SUM(J192:J202)</f>
        <v>0</v>
      </c>
      <c r="K191" s="35">
        <f>SUM(K192:K202)</f>
        <v>0</v>
      </c>
      <c r="L191" s="28"/>
      <c r="AI191" s="28"/>
      <c r="AS191" s="35">
        <f>SUM(AJ192:AJ202)</f>
        <v>0</v>
      </c>
      <c r="AT191" s="35">
        <f>SUM(AK192:AK202)</f>
        <v>0</v>
      </c>
      <c r="AU191" s="35">
        <f>SUM(AL192:AL202)</f>
        <v>0</v>
      </c>
    </row>
    <row r="192" spans="1:62" x14ac:dyDescent="0.2">
      <c r="A192" s="4" t="s">
        <v>65</v>
      </c>
      <c r="B192" s="4" t="s">
        <v>231</v>
      </c>
      <c r="C192" s="56" t="s">
        <v>510</v>
      </c>
      <c r="D192" s="57"/>
      <c r="E192" s="57"/>
      <c r="F192" s="4" t="s">
        <v>827</v>
      </c>
      <c r="G192" s="15">
        <v>60</v>
      </c>
      <c r="H192" s="15">
        <v>0</v>
      </c>
      <c r="I192" s="15">
        <f>G192*AO192</f>
        <v>0</v>
      </c>
      <c r="J192" s="15">
        <f>G192*AP192</f>
        <v>0</v>
      </c>
      <c r="K192" s="15">
        <f>G192*H192</f>
        <v>0</v>
      </c>
      <c r="L192" s="27" t="s">
        <v>846</v>
      </c>
      <c r="Z192" s="32">
        <f>IF(AQ192="5",BJ192,0)</f>
        <v>0</v>
      </c>
      <c r="AB192" s="32">
        <f>IF(AQ192="1",BH192,0)</f>
        <v>0</v>
      </c>
      <c r="AC192" s="32">
        <f>IF(AQ192="1",BI192,0)</f>
        <v>0</v>
      </c>
      <c r="AD192" s="32">
        <f>IF(AQ192="7",BH192,0)</f>
        <v>0</v>
      </c>
      <c r="AE192" s="32">
        <f>IF(AQ192="7",BI192,0)</f>
        <v>0</v>
      </c>
      <c r="AF192" s="32">
        <f>IF(AQ192="2",BH192,0)</f>
        <v>0</v>
      </c>
      <c r="AG192" s="32">
        <f>IF(AQ192="2",BI192,0)</f>
        <v>0</v>
      </c>
      <c r="AH192" s="32">
        <f>IF(AQ192="0",BJ192,0)</f>
        <v>0</v>
      </c>
      <c r="AI192" s="28"/>
      <c r="AJ192" s="15">
        <f>IF(AN192=0,K192,0)</f>
        <v>0</v>
      </c>
      <c r="AK192" s="15">
        <f>IF(AN192=15,K192,0)</f>
        <v>0</v>
      </c>
      <c r="AL192" s="15">
        <f>IF(AN192=21,K192,0)</f>
        <v>0</v>
      </c>
      <c r="AN192" s="32">
        <v>21</v>
      </c>
      <c r="AO192" s="32">
        <f>H192*0</f>
        <v>0</v>
      </c>
      <c r="AP192" s="32">
        <f>H192*(1-0)</f>
        <v>0</v>
      </c>
      <c r="AQ192" s="27" t="s">
        <v>13</v>
      </c>
      <c r="AV192" s="32">
        <f>AW192+AX192</f>
        <v>0</v>
      </c>
      <c r="AW192" s="32">
        <f>G192*AO192</f>
        <v>0</v>
      </c>
      <c r="AX192" s="32">
        <f>G192*AP192</f>
        <v>0</v>
      </c>
      <c r="AY192" s="33" t="s">
        <v>871</v>
      </c>
      <c r="AZ192" s="33" t="s">
        <v>891</v>
      </c>
      <c r="BA192" s="28" t="s">
        <v>895</v>
      </c>
      <c r="BC192" s="32">
        <f>AW192+AX192</f>
        <v>0</v>
      </c>
      <c r="BD192" s="32">
        <f>H192/(100-BE192)*100</f>
        <v>0</v>
      </c>
      <c r="BE192" s="32">
        <v>0</v>
      </c>
      <c r="BF192" s="32">
        <f>190</f>
        <v>190</v>
      </c>
      <c r="BH192" s="15">
        <f>G192*AO192</f>
        <v>0</v>
      </c>
      <c r="BI192" s="15">
        <f>G192*AP192</f>
        <v>0</v>
      </c>
      <c r="BJ192" s="15">
        <f>G192*H192</f>
        <v>0</v>
      </c>
    </row>
    <row r="193" spans="1:62" x14ac:dyDescent="0.2">
      <c r="C193" s="58" t="s">
        <v>511</v>
      </c>
      <c r="D193" s="59"/>
      <c r="E193" s="59"/>
      <c r="G193" s="16">
        <v>60</v>
      </c>
    </row>
    <row r="194" spans="1:62" x14ac:dyDescent="0.2">
      <c r="A194" s="4" t="s">
        <v>66</v>
      </c>
      <c r="B194" s="4" t="s">
        <v>232</v>
      </c>
      <c r="C194" s="56" t="s">
        <v>512</v>
      </c>
      <c r="D194" s="57"/>
      <c r="E194" s="57"/>
      <c r="F194" s="4" t="s">
        <v>827</v>
      </c>
      <c r="G194" s="15">
        <v>8</v>
      </c>
      <c r="H194" s="15">
        <v>0</v>
      </c>
      <c r="I194" s="15">
        <f>G194*AO194</f>
        <v>0</v>
      </c>
      <c r="J194" s="15">
        <f>G194*AP194</f>
        <v>0</v>
      </c>
      <c r="K194" s="15">
        <f>G194*H194</f>
        <v>0</v>
      </c>
      <c r="L194" s="27" t="s">
        <v>846</v>
      </c>
      <c r="Z194" s="32">
        <f>IF(AQ194="5",BJ194,0)</f>
        <v>0</v>
      </c>
      <c r="AB194" s="32">
        <f>IF(AQ194="1",BH194,0)</f>
        <v>0</v>
      </c>
      <c r="AC194" s="32">
        <f>IF(AQ194="1",BI194,0)</f>
        <v>0</v>
      </c>
      <c r="AD194" s="32">
        <f>IF(AQ194="7",BH194,0)</f>
        <v>0</v>
      </c>
      <c r="AE194" s="32">
        <f>IF(AQ194="7",BI194,0)</f>
        <v>0</v>
      </c>
      <c r="AF194" s="32">
        <f>IF(AQ194="2",BH194,0)</f>
        <v>0</v>
      </c>
      <c r="AG194" s="32">
        <f>IF(AQ194="2",BI194,0)</f>
        <v>0</v>
      </c>
      <c r="AH194" s="32">
        <f>IF(AQ194="0",BJ194,0)</f>
        <v>0</v>
      </c>
      <c r="AI194" s="28"/>
      <c r="AJ194" s="15">
        <f>IF(AN194=0,K194,0)</f>
        <v>0</v>
      </c>
      <c r="AK194" s="15">
        <f>IF(AN194=15,K194,0)</f>
        <v>0</v>
      </c>
      <c r="AL194" s="15">
        <f>IF(AN194=21,K194,0)</f>
        <v>0</v>
      </c>
      <c r="AN194" s="32">
        <v>21</v>
      </c>
      <c r="AO194" s="32">
        <f>H194*0</f>
        <v>0</v>
      </c>
      <c r="AP194" s="32">
        <f>H194*(1-0)</f>
        <v>0</v>
      </c>
      <c r="AQ194" s="27" t="s">
        <v>13</v>
      </c>
      <c r="AV194" s="32">
        <f>AW194+AX194</f>
        <v>0</v>
      </c>
      <c r="AW194" s="32">
        <f>G194*AO194</f>
        <v>0</v>
      </c>
      <c r="AX194" s="32">
        <f>G194*AP194</f>
        <v>0</v>
      </c>
      <c r="AY194" s="33" t="s">
        <v>871</v>
      </c>
      <c r="AZ194" s="33" t="s">
        <v>891</v>
      </c>
      <c r="BA194" s="28" t="s">
        <v>895</v>
      </c>
      <c r="BC194" s="32">
        <f>AW194+AX194</f>
        <v>0</v>
      </c>
      <c r="BD194" s="32">
        <f>H194/(100-BE194)*100</f>
        <v>0</v>
      </c>
      <c r="BE194" s="32">
        <v>0</v>
      </c>
      <c r="BF194" s="32">
        <f>192</f>
        <v>192</v>
      </c>
      <c r="BH194" s="15">
        <f>G194*AO194</f>
        <v>0</v>
      </c>
      <c r="BI194" s="15">
        <f>G194*AP194</f>
        <v>0</v>
      </c>
      <c r="BJ194" s="15">
        <f>G194*H194</f>
        <v>0</v>
      </c>
    </row>
    <row r="195" spans="1:62" x14ac:dyDescent="0.2">
      <c r="C195" s="58" t="s">
        <v>513</v>
      </c>
      <c r="D195" s="59"/>
      <c r="E195" s="59"/>
      <c r="G195" s="16">
        <v>8</v>
      </c>
    </row>
    <row r="196" spans="1:62" x14ac:dyDescent="0.2">
      <c r="A196" s="4" t="s">
        <v>67</v>
      </c>
      <c r="B196" s="4" t="s">
        <v>233</v>
      </c>
      <c r="C196" s="56" t="s">
        <v>514</v>
      </c>
      <c r="D196" s="57"/>
      <c r="E196" s="57"/>
      <c r="F196" s="4" t="s">
        <v>827</v>
      </c>
      <c r="G196" s="15">
        <v>8</v>
      </c>
      <c r="H196" s="15">
        <v>0</v>
      </c>
      <c r="I196" s="15">
        <f>G196*AO196</f>
        <v>0</v>
      </c>
      <c r="J196" s="15">
        <f>G196*AP196</f>
        <v>0</v>
      </c>
      <c r="K196" s="15">
        <f>G196*H196</f>
        <v>0</v>
      </c>
      <c r="L196" s="27" t="s">
        <v>846</v>
      </c>
      <c r="Z196" s="32">
        <f>IF(AQ196="5",BJ196,0)</f>
        <v>0</v>
      </c>
      <c r="AB196" s="32">
        <f>IF(AQ196="1",BH196,0)</f>
        <v>0</v>
      </c>
      <c r="AC196" s="32">
        <f>IF(AQ196="1",BI196,0)</f>
        <v>0</v>
      </c>
      <c r="AD196" s="32">
        <f>IF(AQ196="7",BH196,0)</f>
        <v>0</v>
      </c>
      <c r="AE196" s="32">
        <f>IF(AQ196="7",BI196,0)</f>
        <v>0</v>
      </c>
      <c r="AF196" s="32">
        <f>IF(AQ196="2",BH196,0)</f>
        <v>0</v>
      </c>
      <c r="AG196" s="32">
        <f>IF(AQ196="2",BI196,0)</f>
        <v>0</v>
      </c>
      <c r="AH196" s="32">
        <f>IF(AQ196="0",BJ196,0)</f>
        <v>0</v>
      </c>
      <c r="AI196" s="28"/>
      <c r="AJ196" s="15">
        <f>IF(AN196=0,K196,0)</f>
        <v>0</v>
      </c>
      <c r="AK196" s="15">
        <f>IF(AN196=15,K196,0)</f>
        <v>0</v>
      </c>
      <c r="AL196" s="15">
        <f>IF(AN196=21,K196,0)</f>
        <v>0</v>
      </c>
      <c r="AN196" s="32">
        <v>21</v>
      </c>
      <c r="AO196" s="32">
        <f>H196*0.820918</f>
        <v>0</v>
      </c>
      <c r="AP196" s="32">
        <f>H196*(1-0.820918)</f>
        <v>0</v>
      </c>
      <c r="AQ196" s="27" t="s">
        <v>13</v>
      </c>
      <c r="AV196" s="32">
        <f>AW196+AX196</f>
        <v>0</v>
      </c>
      <c r="AW196" s="32">
        <f>G196*AO196</f>
        <v>0</v>
      </c>
      <c r="AX196" s="32">
        <f>G196*AP196</f>
        <v>0</v>
      </c>
      <c r="AY196" s="33" t="s">
        <v>871</v>
      </c>
      <c r="AZ196" s="33" t="s">
        <v>891</v>
      </c>
      <c r="BA196" s="28" t="s">
        <v>895</v>
      </c>
      <c r="BC196" s="32">
        <f>AW196+AX196</f>
        <v>0</v>
      </c>
      <c r="BD196" s="32">
        <f>H196/(100-BE196)*100</f>
        <v>0</v>
      </c>
      <c r="BE196" s="32">
        <v>0</v>
      </c>
      <c r="BF196" s="32">
        <f>194</f>
        <v>194</v>
      </c>
      <c r="BH196" s="15">
        <f>G196*AO196</f>
        <v>0</v>
      </c>
      <c r="BI196" s="15">
        <f>G196*AP196</f>
        <v>0</v>
      </c>
      <c r="BJ196" s="15">
        <f>G196*H196</f>
        <v>0</v>
      </c>
    </row>
    <row r="197" spans="1:62" x14ac:dyDescent="0.2">
      <c r="C197" s="58" t="s">
        <v>515</v>
      </c>
      <c r="D197" s="59"/>
      <c r="E197" s="59"/>
      <c r="G197" s="16">
        <v>8</v>
      </c>
    </row>
    <row r="198" spans="1:62" x14ac:dyDescent="0.2">
      <c r="A198" s="4" t="s">
        <v>68</v>
      </c>
      <c r="B198" s="4" t="s">
        <v>234</v>
      </c>
      <c r="C198" s="56" t="s">
        <v>516</v>
      </c>
      <c r="D198" s="57"/>
      <c r="E198" s="57"/>
      <c r="F198" s="4" t="s">
        <v>827</v>
      </c>
      <c r="G198" s="15">
        <v>60</v>
      </c>
      <c r="H198" s="15">
        <v>0</v>
      </c>
      <c r="I198" s="15">
        <f>G198*AO198</f>
        <v>0</v>
      </c>
      <c r="J198" s="15">
        <f>G198*AP198</f>
        <v>0</v>
      </c>
      <c r="K198" s="15">
        <f>G198*H198</f>
        <v>0</v>
      </c>
      <c r="L198" s="27" t="s">
        <v>846</v>
      </c>
      <c r="Z198" s="32">
        <f>IF(AQ198="5",BJ198,0)</f>
        <v>0</v>
      </c>
      <c r="AB198" s="32">
        <f>IF(AQ198="1",BH198,0)</f>
        <v>0</v>
      </c>
      <c r="AC198" s="32">
        <f>IF(AQ198="1",BI198,0)</f>
        <v>0</v>
      </c>
      <c r="AD198" s="32">
        <f>IF(AQ198="7",BH198,0)</f>
        <v>0</v>
      </c>
      <c r="AE198" s="32">
        <f>IF(AQ198="7",BI198,0)</f>
        <v>0</v>
      </c>
      <c r="AF198" s="32">
        <f>IF(AQ198="2",BH198,0)</f>
        <v>0</v>
      </c>
      <c r="AG198" s="32">
        <f>IF(AQ198="2",BI198,0)</f>
        <v>0</v>
      </c>
      <c r="AH198" s="32">
        <f>IF(AQ198="0",BJ198,0)</f>
        <v>0</v>
      </c>
      <c r="AI198" s="28"/>
      <c r="AJ198" s="15">
        <f>IF(AN198=0,K198,0)</f>
        <v>0</v>
      </c>
      <c r="AK198" s="15">
        <f>IF(AN198=15,K198,0)</f>
        <v>0</v>
      </c>
      <c r="AL198" s="15">
        <f>IF(AN198=21,K198,0)</f>
        <v>0</v>
      </c>
      <c r="AN198" s="32">
        <v>21</v>
      </c>
      <c r="AO198" s="32">
        <f>H198*0</f>
        <v>0</v>
      </c>
      <c r="AP198" s="32">
        <f>H198*(1-0)</f>
        <v>0</v>
      </c>
      <c r="AQ198" s="27" t="s">
        <v>13</v>
      </c>
      <c r="AV198" s="32">
        <f>AW198+AX198</f>
        <v>0</v>
      </c>
      <c r="AW198" s="32">
        <f>G198*AO198</f>
        <v>0</v>
      </c>
      <c r="AX198" s="32">
        <f>G198*AP198</f>
        <v>0</v>
      </c>
      <c r="AY198" s="33" t="s">
        <v>871</v>
      </c>
      <c r="AZ198" s="33" t="s">
        <v>891</v>
      </c>
      <c r="BA198" s="28" t="s">
        <v>895</v>
      </c>
      <c r="BC198" s="32">
        <f>AW198+AX198</f>
        <v>0</v>
      </c>
      <c r="BD198" s="32">
        <f>H198/(100-BE198)*100</f>
        <v>0</v>
      </c>
      <c r="BE198" s="32">
        <v>0</v>
      </c>
      <c r="BF198" s="32">
        <f>196</f>
        <v>196</v>
      </c>
      <c r="BH198" s="15">
        <f>G198*AO198</f>
        <v>0</v>
      </c>
      <c r="BI198" s="15">
        <f>G198*AP198</f>
        <v>0</v>
      </c>
      <c r="BJ198" s="15">
        <f>G198*H198</f>
        <v>0</v>
      </c>
    </row>
    <row r="199" spans="1:62" x14ac:dyDescent="0.2">
      <c r="C199" s="58" t="s">
        <v>517</v>
      </c>
      <c r="D199" s="59"/>
      <c r="E199" s="59"/>
      <c r="G199" s="16">
        <v>60</v>
      </c>
    </row>
    <row r="200" spans="1:62" x14ac:dyDescent="0.2">
      <c r="A200" s="6" t="s">
        <v>69</v>
      </c>
      <c r="B200" s="6" t="s">
        <v>235</v>
      </c>
      <c r="C200" s="68" t="s">
        <v>518</v>
      </c>
      <c r="D200" s="69"/>
      <c r="E200" s="69"/>
      <c r="F200" s="6" t="s">
        <v>827</v>
      </c>
      <c r="G200" s="17">
        <v>60</v>
      </c>
      <c r="H200" s="17">
        <v>0</v>
      </c>
      <c r="I200" s="17">
        <f>G200*AO200</f>
        <v>0</v>
      </c>
      <c r="J200" s="17">
        <f>G200*AP200</f>
        <v>0</v>
      </c>
      <c r="K200" s="17">
        <f>G200*H200</f>
        <v>0</v>
      </c>
      <c r="L200" s="29" t="s">
        <v>846</v>
      </c>
      <c r="Z200" s="32">
        <f>IF(AQ200="5",BJ200,0)</f>
        <v>0</v>
      </c>
      <c r="AB200" s="32">
        <f>IF(AQ200="1",BH200,0)</f>
        <v>0</v>
      </c>
      <c r="AC200" s="32">
        <f>IF(AQ200="1",BI200,0)</f>
        <v>0</v>
      </c>
      <c r="AD200" s="32">
        <f>IF(AQ200="7",BH200,0)</f>
        <v>0</v>
      </c>
      <c r="AE200" s="32">
        <f>IF(AQ200="7",BI200,0)</f>
        <v>0</v>
      </c>
      <c r="AF200" s="32">
        <f>IF(AQ200="2",BH200,0)</f>
        <v>0</v>
      </c>
      <c r="AG200" s="32">
        <f>IF(AQ200="2",BI200,0)</f>
        <v>0</v>
      </c>
      <c r="AH200" s="32">
        <f>IF(AQ200="0",BJ200,0)</f>
        <v>0</v>
      </c>
      <c r="AI200" s="28"/>
      <c r="AJ200" s="17">
        <f>IF(AN200=0,K200,0)</f>
        <v>0</v>
      </c>
      <c r="AK200" s="17">
        <f>IF(AN200=15,K200,0)</f>
        <v>0</v>
      </c>
      <c r="AL200" s="17">
        <f>IF(AN200=21,K200,0)</f>
        <v>0</v>
      </c>
      <c r="AN200" s="32">
        <v>21</v>
      </c>
      <c r="AO200" s="32">
        <f>H200*1</f>
        <v>0</v>
      </c>
      <c r="AP200" s="32">
        <f>H200*(1-1)</f>
        <v>0</v>
      </c>
      <c r="AQ200" s="29" t="s">
        <v>13</v>
      </c>
      <c r="AV200" s="32">
        <f>AW200+AX200</f>
        <v>0</v>
      </c>
      <c r="AW200" s="32">
        <f>G200*AO200</f>
        <v>0</v>
      </c>
      <c r="AX200" s="32">
        <f>G200*AP200</f>
        <v>0</v>
      </c>
      <c r="AY200" s="33" t="s">
        <v>871</v>
      </c>
      <c r="AZ200" s="33" t="s">
        <v>891</v>
      </c>
      <c r="BA200" s="28" t="s">
        <v>895</v>
      </c>
      <c r="BC200" s="32">
        <f>AW200+AX200</f>
        <v>0</v>
      </c>
      <c r="BD200" s="32">
        <f>H200/(100-BE200)*100</f>
        <v>0</v>
      </c>
      <c r="BE200" s="32">
        <v>0</v>
      </c>
      <c r="BF200" s="32">
        <f>198</f>
        <v>198</v>
      </c>
      <c r="BH200" s="17">
        <f>G200*AO200</f>
        <v>0</v>
      </c>
      <c r="BI200" s="17">
        <f>G200*AP200</f>
        <v>0</v>
      </c>
      <c r="BJ200" s="17">
        <f>G200*H200</f>
        <v>0</v>
      </c>
    </row>
    <row r="201" spans="1:62" x14ac:dyDescent="0.2">
      <c r="C201" s="58" t="s">
        <v>517</v>
      </c>
      <c r="D201" s="59"/>
      <c r="E201" s="59"/>
      <c r="G201" s="16">
        <v>60</v>
      </c>
    </row>
    <row r="202" spans="1:62" x14ac:dyDescent="0.2">
      <c r="A202" s="4" t="s">
        <v>70</v>
      </c>
      <c r="B202" s="4" t="s">
        <v>236</v>
      </c>
      <c r="C202" s="56" t="s">
        <v>519</v>
      </c>
      <c r="D202" s="57"/>
      <c r="E202" s="57"/>
      <c r="F202" s="4" t="s">
        <v>828</v>
      </c>
      <c r="G202" s="15">
        <v>5.3359999999999998E-2</v>
      </c>
      <c r="H202" s="15">
        <v>0</v>
      </c>
      <c r="I202" s="15">
        <f>G202*AO202</f>
        <v>0</v>
      </c>
      <c r="J202" s="15">
        <f>G202*AP202</f>
        <v>0</v>
      </c>
      <c r="K202" s="15">
        <f>G202*H202</f>
        <v>0</v>
      </c>
      <c r="L202" s="27" t="s">
        <v>846</v>
      </c>
      <c r="Z202" s="32">
        <f>IF(AQ202="5",BJ202,0)</f>
        <v>0</v>
      </c>
      <c r="AB202" s="32">
        <f>IF(AQ202="1",BH202,0)</f>
        <v>0</v>
      </c>
      <c r="AC202" s="32">
        <f>IF(AQ202="1",BI202,0)</f>
        <v>0</v>
      </c>
      <c r="AD202" s="32">
        <f>IF(AQ202="7",BH202,0)</f>
        <v>0</v>
      </c>
      <c r="AE202" s="32">
        <f>IF(AQ202="7",BI202,0)</f>
        <v>0</v>
      </c>
      <c r="AF202" s="32">
        <f>IF(AQ202="2",BH202,0)</f>
        <v>0</v>
      </c>
      <c r="AG202" s="32">
        <f>IF(AQ202="2",BI202,0)</f>
        <v>0</v>
      </c>
      <c r="AH202" s="32">
        <f>IF(AQ202="0",BJ202,0)</f>
        <v>0</v>
      </c>
      <c r="AI202" s="28"/>
      <c r="AJ202" s="15">
        <f>IF(AN202=0,K202,0)</f>
        <v>0</v>
      </c>
      <c r="AK202" s="15">
        <f>IF(AN202=15,K202,0)</f>
        <v>0</v>
      </c>
      <c r="AL202" s="15">
        <f>IF(AN202=21,K202,0)</f>
        <v>0</v>
      </c>
      <c r="AN202" s="32">
        <v>21</v>
      </c>
      <c r="AO202" s="32">
        <f>H202*0</f>
        <v>0</v>
      </c>
      <c r="AP202" s="32">
        <f>H202*(1-0)</f>
        <v>0</v>
      </c>
      <c r="AQ202" s="27" t="s">
        <v>11</v>
      </c>
      <c r="AV202" s="32">
        <f>AW202+AX202</f>
        <v>0</v>
      </c>
      <c r="AW202" s="32">
        <f>G202*AO202</f>
        <v>0</v>
      </c>
      <c r="AX202" s="32">
        <f>G202*AP202</f>
        <v>0</v>
      </c>
      <c r="AY202" s="33" t="s">
        <v>871</v>
      </c>
      <c r="AZ202" s="33" t="s">
        <v>891</v>
      </c>
      <c r="BA202" s="28" t="s">
        <v>895</v>
      </c>
      <c r="BC202" s="32">
        <f>AW202+AX202</f>
        <v>0</v>
      </c>
      <c r="BD202" s="32">
        <f>H202/(100-BE202)*100</f>
        <v>0</v>
      </c>
      <c r="BE202" s="32">
        <v>0</v>
      </c>
      <c r="BF202" s="32">
        <f>200</f>
        <v>200</v>
      </c>
      <c r="BH202" s="15">
        <f>G202*AO202</f>
        <v>0</v>
      </c>
      <c r="BI202" s="15">
        <f>G202*AP202</f>
        <v>0</v>
      </c>
      <c r="BJ202" s="15">
        <f>G202*H202</f>
        <v>0</v>
      </c>
    </row>
    <row r="203" spans="1:62" x14ac:dyDescent="0.2">
      <c r="C203" s="58" t="s">
        <v>520</v>
      </c>
      <c r="D203" s="59"/>
      <c r="E203" s="59"/>
      <c r="G203" s="16">
        <v>5.3359999999999998E-2</v>
      </c>
    </row>
    <row r="204" spans="1:62" x14ac:dyDescent="0.2">
      <c r="A204" s="5"/>
      <c r="B204" s="13" t="s">
        <v>237</v>
      </c>
      <c r="C204" s="66" t="s">
        <v>521</v>
      </c>
      <c r="D204" s="67"/>
      <c r="E204" s="67"/>
      <c r="F204" s="5" t="s">
        <v>6</v>
      </c>
      <c r="G204" s="5" t="s">
        <v>6</v>
      </c>
      <c r="H204" s="5" t="s">
        <v>6</v>
      </c>
      <c r="I204" s="35">
        <f>SUM(I205:I212)</f>
        <v>0</v>
      </c>
      <c r="J204" s="35">
        <f>SUM(J205:J212)</f>
        <v>0</v>
      </c>
      <c r="K204" s="35">
        <f>SUM(K205:K212)</f>
        <v>0</v>
      </c>
      <c r="L204" s="28"/>
      <c r="AI204" s="28"/>
      <c r="AS204" s="35">
        <f>SUM(AJ205:AJ212)</f>
        <v>0</v>
      </c>
      <c r="AT204" s="35">
        <f>SUM(AK205:AK212)</f>
        <v>0</v>
      </c>
      <c r="AU204" s="35">
        <f>SUM(AL205:AL212)</f>
        <v>0</v>
      </c>
    </row>
    <row r="205" spans="1:62" x14ac:dyDescent="0.2">
      <c r="A205" s="4" t="s">
        <v>71</v>
      </c>
      <c r="B205" s="4" t="s">
        <v>238</v>
      </c>
      <c r="C205" s="56" t="s">
        <v>522</v>
      </c>
      <c r="D205" s="57"/>
      <c r="E205" s="57"/>
      <c r="F205" s="4" t="s">
        <v>823</v>
      </c>
      <c r="G205" s="15">
        <v>892</v>
      </c>
      <c r="H205" s="15">
        <v>0</v>
      </c>
      <c r="I205" s="15">
        <f>G205*AO205</f>
        <v>0</v>
      </c>
      <c r="J205" s="15">
        <f>G205*AP205</f>
        <v>0</v>
      </c>
      <c r="K205" s="15">
        <f>G205*H205</f>
        <v>0</v>
      </c>
      <c r="L205" s="27" t="s">
        <v>847</v>
      </c>
      <c r="Z205" s="32">
        <f>IF(AQ205="5",BJ205,0)</f>
        <v>0</v>
      </c>
      <c r="AB205" s="32">
        <f>IF(AQ205="1",BH205,0)</f>
        <v>0</v>
      </c>
      <c r="AC205" s="32">
        <f>IF(AQ205="1",BI205,0)</f>
        <v>0</v>
      </c>
      <c r="AD205" s="32">
        <f>IF(AQ205="7",BH205,0)</f>
        <v>0</v>
      </c>
      <c r="AE205" s="32">
        <f>IF(AQ205="7",BI205,0)</f>
        <v>0</v>
      </c>
      <c r="AF205" s="32">
        <f>IF(AQ205="2",BH205,0)</f>
        <v>0</v>
      </c>
      <c r="AG205" s="32">
        <f>IF(AQ205="2",BI205,0)</f>
        <v>0</v>
      </c>
      <c r="AH205" s="32">
        <f>IF(AQ205="0",BJ205,0)</f>
        <v>0</v>
      </c>
      <c r="AI205" s="28"/>
      <c r="AJ205" s="15">
        <f>IF(AN205=0,K205,0)</f>
        <v>0</v>
      </c>
      <c r="AK205" s="15">
        <f>IF(AN205=15,K205,0)</f>
        <v>0</v>
      </c>
      <c r="AL205" s="15">
        <f>IF(AN205=21,K205,0)</f>
        <v>0</v>
      </c>
      <c r="AN205" s="32">
        <v>21</v>
      </c>
      <c r="AO205" s="32">
        <f>H205*0.026806091539068</f>
        <v>0</v>
      </c>
      <c r="AP205" s="32">
        <f>H205*(1-0.026806091539068)</f>
        <v>0</v>
      </c>
      <c r="AQ205" s="27" t="s">
        <v>13</v>
      </c>
      <c r="AV205" s="32">
        <f>AW205+AX205</f>
        <v>0</v>
      </c>
      <c r="AW205" s="32">
        <f>G205*AO205</f>
        <v>0</v>
      </c>
      <c r="AX205" s="32">
        <f>G205*AP205</f>
        <v>0</v>
      </c>
      <c r="AY205" s="33" t="s">
        <v>872</v>
      </c>
      <c r="AZ205" s="33" t="s">
        <v>892</v>
      </c>
      <c r="BA205" s="28" t="s">
        <v>895</v>
      </c>
      <c r="BC205" s="32">
        <f>AW205+AX205</f>
        <v>0</v>
      </c>
      <c r="BD205" s="32">
        <f>H205/(100-BE205)*100</f>
        <v>0</v>
      </c>
      <c r="BE205" s="32">
        <v>0</v>
      </c>
      <c r="BF205" s="32">
        <f>203</f>
        <v>203</v>
      </c>
      <c r="BH205" s="15">
        <f>G205*AO205</f>
        <v>0</v>
      </c>
      <c r="BI205" s="15">
        <f>G205*AP205</f>
        <v>0</v>
      </c>
      <c r="BJ205" s="15">
        <f>G205*H205</f>
        <v>0</v>
      </c>
    </row>
    <row r="206" spans="1:62" x14ac:dyDescent="0.2">
      <c r="C206" s="58" t="s">
        <v>523</v>
      </c>
      <c r="D206" s="59"/>
      <c r="E206" s="59"/>
      <c r="G206" s="16">
        <v>892</v>
      </c>
    </row>
    <row r="207" spans="1:62" x14ac:dyDescent="0.2">
      <c r="A207" s="6" t="s">
        <v>72</v>
      </c>
      <c r="B207" s="6" t="s">
        <v>239</v>
      </c>
      <c r="C207" s="68" t="s">
        <v>524</v>
      </c>
      <c r="D207" s="69"/>
      <c r="E207" s="69"/>
      <c r="F207" s="6" t="s">
        <v>823</v>
      </c>
      <c r="G207" s="17">
        <v>963.36</v>
      </c>
      <c r="H207" s="17">
        <v>0</v>
      </c>
      <c r="I207" s="17">
        <f>G207*AO207</f>
        <v>0</v>
      </c>
      <c r="J207" s="17">
        <f>G207*AP207</f>
        <v>0</v>
      </c>
      <c r="K207" s="17">
        <f>G207*H207</f>
        <v>0</v>
      </c>
      <c r="L207" s="29" t="s">
        <v>847</v>
      </c>
      <c r="Z207" s="32">
        <f>IF(AQ207="5",BJ207,0)</f>
        <v>0</v>
      </c>
      <c r="AB207" s="32">
        <f>IF(AQ207="1",BH207,0)</f>
        <v>0</v>
      </c>
      <c r="AC207" s="32">
        <f>IF(AQ207="1",BI207,0)</f>
        <v>0</v>
      </c>
      <c r="AD207" s="32">
        <f>IF(AQ207="7",BH207,0)</f>
        <v>0</v>
      </c>
      <c r="AE207" s="32">
        <f>IF(AQ207="7",BI207,0)</f>
        <v>0</v>
      </c>
      <c r="AF207" s="32">
        <f>IF(AQ207="2",BH207,0)</f>
        <v>0</v>
      </c>
      <c r="AG207" s="32">
        <f>IF(AQ207="2",BI207,0)</f>
        <v>0</v>
      </c>
      <c r="AH207" s="32">
        <f>IF(AQ207="0",BJ207,0)</f>
        <v>0</v>
      </c>
      <c r="AI207" s="28"/>
      <c r="AJ207" s="17">
        <f>IF(AN207=0,K207,0)</f>
        <v>0</v>
      </c>
      <c r="AK207" s="17">
        <f>IF(AN207=15,K207,0)</f>
        <v>0</v>
      </c>
      <c r="AL207" s="17">
        <f>IF(AN207=21,K207,0)</f>
        <v>0</v>
      </c>
      <c r="AN207" s="32">
        <v>21</v>
      </c>
      <c r="AO207" s="32">
        <f>H207*1</f>
        <v>0</v>
      </c>
      <c r="AP207" s="32">
        <f>H207*(1-1)</f>
        <v>0</v>
      </c>
      <c r="AQ207" s="29" t="s">
        <v>13</v>
      </c>
      <c r="AV207" s="32">
        <f>AW207+AX207</f>
        <v>0</v>
      </c>
      <c r="AW207" s="32">
        <f>G207*AO207</f>
        <v>0</v>
      </c>
      <c r="AX207" s="32">
        <f>G207*AP207</f>
        <v>0</v>
      </c>
      <c r="AY207" s="33" t="s">
        <v>872</v>
      </c>
      <c r="AZ207" s="33" t="s">
        <v>892</v>
      </c>
      <c r="BA207" s="28" t="s">
        <v>895</v>
      </c>
      <c r="BC207" s="32">
        <f>AW207+AX207</f>
        <v>0</v>
      </c>
      <c r="BD207" s="32">
        <f>H207/(100-BE207)*100</f>
        <v>0</v>
      </c>
      <c r="BE207" s="32">
        <v>0</v>
      </c>
      <c r="BF207" s="32">
        <f>205</f>
        <v>205</v>
      </c>
      <c r="BH207" s="17">
        <f>G207*AO207</f>
        <v>0</v>
      </c>
      <c r="BI207" s="17">
        <f>G207*AP207</f>
        <v>0</v>
      </c>
      <c r="BJ207" s="17">
        <f>G207*H207</f>
        <v>0</v>
      </c>
    </row>
    <row r="208" spans="1:62" x14ac:dyDescent="0.2">
      <c r="C208" s="58" t="s">
        <v>523</v>
      </c>
      <c r="D208" s="59"/>
      <c r="E208" s="59"/>
      <c r="G208" s="16">
        <v>892</v>
      </c>
    </row>
    <row r="209" spans="1:62" x14ac:dyDescent="0.2">
      <c r="C209" s="58" t="s">
        <v>525</v>
      </c>
      <c r="D209" s="59"/>
      <c r="E209" s="59"/>
      <c r="G209" s="16">
        <v>71.36</v>
      </c>
    </row>
    <row r="210" spans="1:62" x14ac:dyDescent="0.2">
      <c r="A210" s="4" t="s">
        <v>73</v>
      </c>
      <c r="B210" s="4" t="s">
        <v>240</v>
      </c>
      <c r="C210" s="56" t="s">
        <v>526</v>
      </c>
      <c r="D210" s="57"/>
      <c r="E210" s="57"/>
      <c r="F210" s="4" t="s">
        <v>823</v>
      </c>
      <c r="G210" s="15">
        <v>963.36</v>
      </c>
      <c r="H210" s="15">
        <v>0</v>
      </c>
      <c r="I210" s="15">
        <f>G210*AO210</f>
        <v>0</v>
      </c>
      <c r="J210" s="15">
        <f>G210*AP210</f>
        <v>0</v>
      </c>
      <c r="K210" s="15">
        <f>G210*H210</f>
        <v>0</v>
      </c>
      <c r="L210" s="27" t="s">
        <v>847</v>
      </c>
      <c r="Z210" s="32">
        <f>IF(AQ210="5",BJ210,0)</f>
        <v>0</v>
      </c>
      <c r="AB210" s="32">
        <f>IF(AQ210="1",BH210,0)</f>
        <v>0</v>
      </c>
      <c r="AC210" s="32">
        <f>IF(AQ210="1",BI210,0)</f>
        <v>0</v>
      </c>
      <c r="AD210" s="32">
        <f>IF(AQ210="7",BH210,0)</f>
        <v>0</v>
      </c>
      <c r="AE210" s="32">
        <f>IF(AQ210="7",BI210,0)</f>
        <v>0</v>
      </c>
      <c r="AF210" s="32">
        <f>IF(AQ210="2",BH210,0)</f>
        <v>0</v>
      </c>
      <c r="AG210" s="32">
        <f>IF(AQ210="2",BI210,0)</f>
        <v>0</v>
      </c>
      <c r="AH210" s="32">
        <f>IF(AQ210="0",BJ210,0)</f>
        <v>0</v>
      </c>
      <c r="AI210" s="28"/>
      <c r="AJ210" s="15">
        <f>IF(AN210=0,K210,0)</f>
        <v>0</v>
      </c>
      <c r="AK210" s="15">
        <f>IF(AN210=15,K210,0)</f>
        <v>0</v>
      </c>
      <c r="AL210" s="15">
        <f>IF(AN210=21,K210,0)</f>
        <v>0</v>
      </c>
      <c r="AN210" s="32">
        <v>21</v>
      </c>
      <c r="AO210" s="32">
        <f>H210*0.286421469582369</f>
        <v>0</v>
      </c>
      <c r="AP210" s="32">
        <f>H210*(1-0.286421469582369)</f>
        <v>0</v>
      </c>
      <c r="AQ210" s="27" t="s">
        <v>13</v>
      </c>
      <c r="AV210" s="32">
        <f>AW210+AX210</f>
        <v>0</v>
      </c>
      <c r="AW210" s="32">
        <f>G210*AO210</f>
        <v>0</v>
      </c>
      <c r="AX210" s="32">
        <f>G210*AP210</f>
        <v>0</v>
      </c>
      <c r="AY210" s="33" t="s">
        <v>872</v>
      </c>
      <c r="AZ210" s="33" t="s">
        <v>892</v>
      </c>
      <c r="BA210" s="28" t="s">
        <v>895</v>
      </c>
      <c r="BC210" s="32">
        <f>AW210+AX210</f>
        <v>0</v>
      </c>
      <c r="BD210" s="32">
        <f>H210/(100-BE210)*100</f>
        <v>0</v>
      </c>
      <c r="BE210" s="32">
        <v>0</v>
      </c>
      <c r="BF210" s="32">
        <f>208</f>
        <v>208</v>
      </c>
      <c r="BH210" s="15">
        <f>G210*AO210</f>
        <v>0</v>
      </c>
      <c r="BI210" s="15">
        <f>G210*AP210</f>
        <v>0</v>
      </c>
      <c r="BJ210" s="15">
        <f>G210*H210</f>
        <v>0</v>
      </c>
    </row>
    <row r="211" spans="1:62" x14ac:dyDescent="0.2">
      <c r="C211" s="58" t="s">
        <v>527</v>
      </c>
      <c r="D211" s="59"/>
      <c r="E211" s="59"/>
      <c r="G211" s="16">
        <v>963.36</v>
      </c>
    </row>
    <row r="212" spans="1:62" x14ac:dyDescent="0.2">
      <c r="A212" s="4" t="s">
        <v>74</v>
      </c>
      <c r="B212" s="4" t="s">
        <v>241</v>
      </c>
      <c r="C212" s="56" t="s">
        <v>528</v>
      </c>
      <c r="D212" s="57"/>
      <c r="E212" s="57"/>
      <c r="F212" s="4" t="s">
        <v>828</v>
      </c>
      <c r="G212" s="15">
        <v>18.335239999999999</v>
      </c>
      <c r="H212" s="15">
        <v>0</v>
      </c>
      <c r="I212" s="15">
        <f>G212*AO212</f>
        <v>0</v>
      </c>
      <c r="J212" s="15">
        <f>G212*AP212</f>
        <v>0</v>
      </c>
      <c r="K212" s="15">
        <f>G212*H212</f>
        <v>0</v>
      </c>
      <c r="L212" s="27" t="s">
        <v>847</v>
      </c>
      <c r="Z212" s="32">
        <f>IF(AQ212="5",BJ212,0)</f>
        <v>0</v>
      </c>
      <c r="AB212" s="32">
        <f>IF(AQ212="1",BH212,0)</f>
        <v>0</v>
      </c>
      <c r="AC212" s="32">
        <f>IF(AQ212="1",BI212,0)</f>
        <v>0</v>
      </c>
      <c r="AD212" s="32">
        <f>IF(AQ212="7",BH212,0)</f>
        <v>0</v>
      </c>
      <c r="AE212" s="32">
        <f>IF(AQ212="7",BI212,0)</f>
        <v>0</v>
      </c>
      <c r="AF212" s="32">
        <f>IF(AQ212="2",BH212,0)</f>
        <v>0</v>
      </c>
      <c r="AG212" s="32">
        <f>IF(AQ212="2",BI212,0)</f>
        <v>0</v>
      </c>
      <c r="AH212" s="32">
        <f>IF(AQ212="0",BJ212,0)</f>
        <v>0</v>
      </c>
      <c r="AI212" s="28"/>
      <c r="AJ212" s="15">
        <f>IF(AN212=0,K212,0)</f>
        <v>0</v>
      </c>
      <c r="AK212" s="15">
        <f>IF(AN212=15,K212,0)</f>
        <v>0</v>
      </c>
      <c r="AL212" s="15">
        <f>IF(AN212=21,K212,0)</f>
        <v>0</v>
      </c>
      <c r="AN212" s="32">
        <v>21</v>
      </c>
      <c r="AO212" s="32">
        <f>H212*0</f>
        <v>0</v>
      </c>
      <c r="AP212" s="32">
        <f>H212*(1-0)</f>
        <v>0</v>
      </c>
      <c r="AQ212" s="27" t="s">
        <v>11</v>
      </c>
      <c r="AV212" s="32">
        <f>AW212+AX212</f>
        <v>0</v>
      </c>
      <c r="AW212" s="32">
        <f>G212*AO212</f>
        <v>0</v>
      </c>
      <c r="AX212" s="32">
        <f>G212*AP212</f>
        <v>0</v>
      </c>
      <c r="AY212" s="33" t="s">
        <v>872</v>
      </c>
      <c r="AZ212" s="33" t="s">
        <v>892</v>
      </c>
      <c r="BA212" s="28" t="s">
        <v>895</v>
      </c>
      <c r="BC212" s="32">
        <f>AW212+AX212</f>
        <v>0</v>
      </c>
      <c r="BD212" s="32">
        <f>H212/(100-BE212)*100</f>
        <v>0</v>
      </c>
      <c r="BE212" s="32">
        <v>0</v>
      </c>
      <c r="BF212" s="32">
        <f>210</f>
        <v>210</v>
      </c>
      <c r="BH212" s="15">
        <f>G212*AO212</f>
        <v>0</v>
      </c>
      <c r="BI212" s="15">
        <f>G212*AP212</f>
        <v>0</v>
      </c>
      <c r="BJ212" s="15">
        <f>G212*H212</f>
        <v>0</v>
      </c>
    </row>
    <row r="213" spans="1:62" x14ac:dyDescent="0.2">
      <c r="C213" s="58" t="s">
        <v>529</v>
      </c>
      <c r="D213" s="59"/>
      <c r="E213" s="59"/>
      <c r="G213" s="16">
        <v>18.335239999999999</v>
      </c>
    </row>
    <row r="214" spans="1:62" x14ac:dyDescent="0.2">
      <c r="A214" s="5"/>
      <c r="B214" s="13" t="s">
        <v>242</v>
      </c>
      <c r="C214" s="66" t="s">
        <v>530</v>
      </c>
      <c r="D214" s="67"/>
      <c r="E214" s="67"/>
      <c r="F214" s="5" t="s">
        <v>6</v>
      </c>
      <c r="G214" s="5" t="s">
        <v>6</v>
      </c>
      <c r="H214" s="5" t="s">
        <v>6</v>
      </c>
      <c r="I214" s="35">
        <f>SUM(I215:I219)</f>
        <v>0</v>
      </c>
      <c r="J214" s="35">
        <f>SUM(J215:J219)</f>
        <v>0</v>
      </c>
      <c r="K214" s="35">
        <f>SUM(K215:K219)</f>
        <v>0</v>
      </c>
      <c r="L214" s="28"/>
      <c r="AI214" s="28"/>
      <c r="AS214" s="35">
        <f>SUM(AJ215:AJ219)</f>
        <v>0</v>
      </c>
      <c r="AT214" s="35">
        <f>SUM(AK215:AK219)</f>
        <v>0</v>
      </c>
      <c r="AU214" s="35">
        <f>SUM(AL215:AL219)</f>
        <v>0</v>
      </c>
    </row>
    <row r="215" spans="1:62" x14ac:dyDescent="0.2">
      <c r="A215" s="4" t="s">
        <v>75</v>
      </c>
      <c r="B215" s="4" t="s">
        <v>243</v>
      </c>
      <c r="C215" s="56" t="s">
        <v>531</v>
      </c>
      <c r="D215" s="57"/>
      <c r="E215" s="57"/>
      <c r="F215" s="4" t="s">
        <v>823</v>
      </c>
      <c r="G215" s="15">
        <v>78.099999999999994</v>
      </c>
      <c r="H215" s="15">
        <v>0</v>
      </c>
      <c r="I215" s="15">
        <f>G215*AO215</f>
        <v>0</v>
      </c>
      <c r="J215" s="15">
        <f>G215*AP215</f>
        <v>0</v>
      </c>
      <c r="K215" s="15">
        <f>G215*H215</f>
        <v>0</v>
      </c>
      <c r="L215" s="27" t="s">
        <v>846</v>
      </c>
      <c r="Z215" s="32">
        <f>IF(AQ215="5",BJ215,0)</f>
        <v>0</v>
      </c>
      <c r="AB215" s="32">
        <f>IF(AQ215="1",BH215,0)</f>
        <v>0</v>
      </c>
      <c r="AC215" s="32">
        <f>IF(AQ215="1",BI215,0)</f>
        <v>0</v>
      </c>
      <c r="AD215" s="32">
        <f>IF(AQ215="7",BH215,0)</f>
        <v>0</v>
      </c>
      <c r="AE215" s="32">
        <f>IF(AQ215="7",BI215,0)</f>
        <v>0</v>
      </c>
      <c r="AF215" s="32">
        <f>IF(AQ215="2",BH215,0)</f>
        <v>0</v>
      </c>
      <c r="AG215" s="32">
        <f>IF(AQ215="2",BI215,0)</f>
        <v>0</v>
      </c>
      <c r="AH215" s="32">
        <f>IF(AQ215="0",BJ215,0)</f>
        <v>0</v>
      </c>
      <c r="AI215" s="28"/>
      <c r="AJ215" s="15">
        <f>IF(AN215=0,K215,0)</f>
        <v>0</v>
      </c>
      <c r="AK215" s="15">
        <f>IF(AN215=15,K215,0)</f>
        <v>0</v>
      </c>
      <c r="AL215" s="15">
        <f>IF(AN215=21,K215,0)</f>
        <v>0</v>
      </c>
      <c r="AN215" s="32">
        <v>21</v>
      </c>
      <c r="AO215" s="32">
        <f>H215*0.00829090909090909</f>
        <v>0</v>
      </c>
      <c r="AP215" s="32">
        <f>H215*(1-0.00829090909090909)</f>
        <v>0</v>
      </c>
      <c r="AQ215" s="27" t="s">
        <v>13</v>
      </c>
      <c r="AV215" s="32">
        <f>AW215+AX215</f>
        <v>0</v>
      </c>
      <c r="AW215" s="32">
        <f>G215*AO215</f>
        <v>0</v>
      </c>
      <c r="AX215" s="32">
        <f>G215*AP215</f>
        <v>0</v>
      </c>
      <c r="AY215" s="33" t="s">
        <v>873</v>
      </c>
      <c r="AZ215" s="33" t="s">
        <v>892</v>
      </c>
      <c r="BA215" s="28" t="s">
        <v>895</v>
      </c>
      <c r="BC215" s="32">
        <f>AW215+AX215</f>
        <v>0</v>
      </c>
      <c r="BD215" s="32">
        <f>H215/(100-BE215)*100</f>
        <v>0</v>
      </c>
      <c r="BE215" s="32">
        <v>0</v>
      </c>
      <c r="BF215" s="32">
        <f>213</f>
        <v>213</v>
      </c>
      <c r="BH215" s="15">
        <f>G215*AO215</f>
        <v>0</v>
      </c>
      <c r="BI215" s="15">
        <f>G215*AP215</f>
        <v>0</v>
      </c>
      <c r="BJ215" s="15">
        <f>G215*H215</f>
        <v>0</v>
      </c>
    </row>
    <row r="216" spans="1:62" x14ac:dyDescent="0.2">
      <c r="C216" s="58" t="s">
        <v>532</v>
      </c>
      <c r="D216" s="59"/>
      <c r="E216" s="59"/>
      <c r="G216" s="16">
        <v>78.099999999999994</v>
      </c>
    </row>
    <row r="217" spans="1:62" x14ac:dyDescent="0.2">
      <c r="A217" s="6" t="s">
        <v>76</v>
      </c>
      <c r="B217" s="6" t="s">
        <v>244</v>
      </c>
      <c r="C217" s="68" t="s">
        <v>533</v>
      </c>
      <c r="D217" s="69"/>
      <c r="E217" s="69"/>
      <c r="F217" s="6" t="s">
        <v>823</v>
      </c>
      <c r="G217" s="17">
        <v>85.91</v>
      </c>
      <c r="H217" s="17">
        <v>0</v>
      </c>
      <c r="I217" s="17">
        <f>G217*AO217</f>
        <v>0</v>
      </c>
      <c r="J217" s="17">
        <f>G217*AP217</f>
        <v>0</v>
      </c>
      <c r="K217" s="17">
        <f>G217*H217</f>
        <v>0</v>
      </c>
      <c r="L217" s="29" t="s">
        <v>846</v>
      </c>
      <c r="Z217" s="32">
        <f>IF(AQ217="5",BJ217,0)</f>
        <v>0</v>
      </c>
      <c r="AB217" s="32">
        <f>IF(AQ217="1",BH217,0)</f>
        <v>0</v>
      </c>
      <c r="AC217" s="32">
        <f>IF(AQ217="1",BI217,0)</f>
        <v>0</v>
      </c>
      <c r="AD217" s="32">
        <f>IF(AQ217="7",BH217,0)</f>
        <v>0</v>
      </c>
      <c r="AE217" s="32">
        <f>IF(AQ217="7",BI217,0)</f>
        <v>0</v>
      </c>
      <c r="AF217" s="32">
        <f>IF(AQ217="2",BH217,0)</f>
        <v>0</v>
      </c>
      <c r="AG217" s="32">
        <f>IF(AQ217="2",BI217,0)</f>
        <v>0</v>
      </c>
      <c r="AH217" s="32">
        <f>IF(AQ217="0",BJ217,0)</f>
        <v>0</v>
      </c>
      <c r="AI217" s="28"/>
      <c r="AJ217" s="17">
        <f>IF(AN217=0,K217,0)</f>
        <v>0</v>
      </c>
      <c r="AK217" s="17">
        <f>IF(AN217=15,K217,0)</f>
        <v>0</v>
      </c>
      <c r="AL217" s="17">
        <f>IF(AN217=21,K217,0)</f>
        <v>0</v>
      </c>
      <c r="AN217" s="32">
        <v>21</v>
      </c>
      <c r="AO217" s="32">
        <f>H217*1</f>
        <v>0</v>
      </c>
      <c r="AP217" s="32">
        <f>H217*(1-1)</f>
        <v>0</v>
      </c>
      <c r="AQ217" s="29" t="s">
        <v>13</v>
      </c>
      <c r="AV217" s="32">
        <f>AW217+AX217</f>
        <v>0</v>
      </c>
      <c r="AW217" s="32">
        <f>G217*AO217</f>
        <v>0</v>
      </c>
      <c r="AX217" s="32">
        <f>G217*AP217</f>
        <v>0</v>
      </c>
      <c r="AY217" s="33" t="s">
        <v>873</v>
      </c>
      <c r="AZ217" s="33" t="s">
        <v>892</v>
      </c>
      <c r="BA217" s="28" t="s">
        <v>895</v>
      </c>
      <c r="BC217" s="32">
        <f>AW217+AX217</f>
        <v>0</v>
      </c>
      <c r="BD217" s="32">
        <f>H217/(100-BE217)*100</f>
        <v>0</v>
      </c>
      <c r="BE217" s="32">
        <v>0</v>
      </c>
      <c r="BF217" s="32">
        <f>215</f>
        <v>215</v>
      </c>
      <c r="BH217" s="17">
        <f>G217*AO217</f>
        <v>0</v>
      </c>
      <c r="BI217" s="17">
        <f>G217*AP217</f>
        <v>0</v>
      </c>
      <c r="BJ217" s="17">
        <f>G217*H217</f>
        <v>0</v>
      </c>
    </row>
    <row r="218" spans="1:62" x14ac:dyDescent="0.2">
      <c r="C218" s="58" t="s">
        <v>534</v>
      </c>
      <c r="D218" s="59"/>
      <c r="E218" s="59"/>
      <c r="G218" s="16">
        <v>85.91</v>
      </c>
    </row>
    <row r="219" spans="1:62" x14ac:dyDescent="0.2">
      <c r="A219" s="4" t="s">
        <v>77</v>
      </c>
      <c r="B219" s="4" t="s">
        <v>245</v>
      </c>
      <c r="C219" s="56" t="s">
        <v>535</v>
      </c>
      <c r="D219" s="57"/>
      <c r="E219" s="57"/>
      <c r="F219" s="4" t="s">
        <v>828</v>
      </c>
      <c r="G219" s="15">
        <v>1.266</v>
      </c>
      <c r="H219" s="15">
        <v>0</v>
      </c>
      <c r="I219" s="15">
        <f>G219*AO219</f>
        <v>0</v>
      </c>
      <c r="J219" s="15">
        <f>G219*AP219</f>
        <v>0</v>
      </c>
      <c r="K219" s="15">
        <f>G219*H219</f>
        <v>0</v>
      </c>
      <c r="L219" s="27" t="s">
        <v>846</v>
      </c>
      <c r="Z219" s="32">
        <f>IF(AQ219="5",BJ219,0)</f>
        <v>0</v>
      </c>
      <c r="AB219" s="32">
        <f>IF(AQ219="1",BH219,0)</f>
        <v>0</v>
      </c>
      <c r="AC219" s="32">
        <f>IF(AQ219="1",BI219,0)</f>
        <v>0</v>
      </c>
      <c r="AD219" s="32">
        <f>IF(AQ219="7",BH219,0)</f>
        <v>0</v>
      </c>
      <c r="AE219" s="32">
        <f>IF(AQ219="7",BI219,0)</f>
        <v>0</v>
      </c>
      <c r="AF219" s="32">
        <f>IF(AQ219="2",BH219,0)</f>
        <v>0</v>
      </c>
      <c r="AG219" s="32">
        <f>IF(AQ219="2",BI219,0)</f>
        <v>0</v>
      </c>
      <c r="AH219" s="32">
        <f>IF(AQ219="0",BJ219,0)</f>
        <v>0</v>
      </c>
      <c r="AI219" s="28"/>
      <c r="AJ219" s="15">
        <f>IF(AN219=0,K219,0)</f>
        <v>0</v>
      </c>
      <c r="AK219" s="15">
        <f>IF(AN219=15,K219,0)</f>
        <v>0</v>
      </c>
      <c r="AL219" s="15">
        <f>IF(AN219=21,K219,0)</f>
        <v>0</v>
      </c>
      <c r="AN219" s="32">
        <v>21</v>
      </c>
      <c r="AO219" s="32">
        <f>H219*0</f>
        <v>0</v>
      </c>
      <c r="AP219" s="32">
        <f>H219*(1-0)</f>
        <v>0</v>
      </c>
      <c r="AQ219" s="27" t="s">
        <v>11</v>
      </c>
      <c r="AV219" s="32">
        <f>AW219+AX219</f>
        <v>0</v>
      </c>
      <c r="AW219" s="32">
        <f>G219*AO219</f>
        <v>0</v>
      </c>
      <c r="AX219" s="32">
        <f>G219*AP219</f>
        <v>0</v>
      </c>
      <c r="AY219" s="33" t="s">
        <v>873</v>
      </c>
      <c r="AZ219" s="33" t="s">
        <v>892</v>
      </c>
      <c r="BA219" s="28" t="s">
        <v>895</v>
      </c>
      <c r="BC219" s="32">
        <f>AW219+AX219</f>
        <v>0</v>
      </c>
      <c r="BD219" s="32">
        <f>H219/(100-BE219)*100</f>
        <v>0</v>
      </c>
      <c r="BE219" s="32">
        <v>0</v>
      </c>
      <c r="BF219" s="32">
        <f>217</f>
        <v>217</v>
      </c>
      <c r="BH219" s="15">
        <f>G219*AO219</f>
        <v>0</v>
      </c>
      <c r="BI219" s="15">
        <f>G219*AP219</f>
        <v>0</v>
      </c>
      <c r="BJ219" s="15">
        <f>G219*H219</f>
        <v>0</v>
      </c>
    </row>
    <row r="220" spans="1:62" x14ac:dyDescent="0.2">
      <c r="C220" s="58" t="s">
        <v>536</v>
      </c>
      <c r="D220" s="59"/>
      <c r="E220" s="59"/>
      <c r="G220" s="16">
        <v>1.266</v>
      </c>
    </row>
    <row r="221" spans="1:62" x14ac:dyDescent="0.2">
      <c r="A221" s="5"/>
      <c r="B221" s="13" t="s">
        <v>246</v>
      </c>
      <c r="C221" s="66" t="s">
        <v>537</v>
      </c>
      <c r="D221" s="67"/>
      <c r="E221" s="67"/>
      <c r="F221" s="5" t="s">
        <v>6</v>
      </c>
      <c r="G221" s="5" t="s">
        <v>6</v>
      </c>
      <c r="H221" s="5" t="s">
        <v>6</v>
      </c>
      <c r="I221" s="35">
        <f>SUM(I222:I273)</f>
        <v>0</v>
      </c>
      <c r="J221" s="35">
        <f>SUM(J222:J273)</f>
        <v>0</v>
      </c>
      <c r="K221" s="35">
        <f>SUM(K222:K273)</f>
        <v>0</v>
      </c>
      <c r="L221" s="28"/>
      <c r="AI221" s="28"/>
      <c r="AS221" s="35">
        <f>SUM(AJ222:AJ273)</f>
        <v>0</v>
      </c>
      <c r="AT221" s="35">
        <f>SUM(AK222:AK273)</f>
        <v>0</v>
      </c>
      <c r="AU221" s="35">
        <f>SUM(AL222:AL273)</f>
        <v>0</v>
      </c>
    </row>
    <row r="222" spans="1:62" x14ac:dyDescent="0.2">
      <c r="A222" s="4" t="s">
        <v>78</v>
      </c>
      <c r="B222" s="4" t="s">
        <v>247</v>
      </c>
      <c r="C222" s="56" t="s">
        <v>538</v>
      </c>
      <c r="D222" s="57"/>
      <c r="E222" s="57"/>
      <c r="F222" s="4" t="s">
        <v>826</v>
      </c>
      <c r="G222" s="15">
        <v>207</v>
      </c>
      <c r="H222" s="15">
        <v>0</v>
      </c>
      <c r="I222" s="15">
        <f>G222*AO222</f>
        <v>0</v>
      </c>
      <c r="J222" s="15">
        <f>G222*AP222</f>
        <v>0</v>
      </c>
      <c r="K222" s="15">
        <f>G222*H222</f>
        <v>0</v>
      </c>
      <c r="L222" s="27" t="s">
        <v>846</v>
      </c>
      <c r="Z222" s="32">
        <f>IF(AQ222="5",BJ222,0)</f>
        <v>0</v>
      </c>
      <c r="AB222" s="32">
        <f>IF(AQ222="1",BH222,0)</f>
        <v>0</v>
      </c>
      <c r="AC222" s="32">
        <f>IF(AQ222="1",BI222,0)</f>
        <v>0</v>
      </c>
      <c r="AD222" s="32">
        <f>IF(AQ222="7",BH222,0)</f>
        <v>0</v>
      </c>
      <c r="AE222" s="32">
        <f>IF(AQ222="7",BI222,0)</f>
        <v>0</v>
      </c>
      <c r="AF222" s="32">
        <f>IF(AQ222="2",BH222,0)</f>
        <v>0</v>
      </c>
      <c r="AG222" s="32">
        <f>IF(AQ222="2",BI222,0)</f>
        <v>0</v>
      </c>
      <c r="AH222" s="32">
        <f>IF(AQ222="0",BJ222,0)</f>
        <v>0</v>
      </c>
      <c r="AI222" s="28"/>
      <c r="AJ222" s="15">
        <f>IF(AN222=0,K222,0)</f>
        <v>0</v>
      </c>
      <c r="AK222" s="15">
        <f>IF(AN222=15,K222,0)</f>
        <v>0</v>
      </c>
      <c r="AL222" s="15">
        <f>IF(AN222=21,K222,0)</f>
        <v>0</v>
      </c>
      <c r="AN222" s="32">
        <v>21</v>
      </c>
      <c r="AO222" s="32">
        <f>H222*0</f>
        <v>0</v>
      </c>
      <c r="AP222" s="32">
        <f>H222*(1-0)</f>
        <v>0</v>
      </c>
      <c r="AQ222" s="27" t="s">
        <v>13</v>
      </c>
      <c r="AV222" s="32">
        <f>AW222+AX222</f>
        <v>0</v>
      </c>
      <c r="AW222" s="32">
        <f>G222*AO222</f>
        <v>0</v>
      </c>
      <c r="AX222" s="32">
        <f>G222*AP222</f>
        <v>0</v>
      </c>
      <c r="AY222" s="33" t="s">
        <v>874</v>
      </c>
      <c r="AZ222" s="33" t="s">
        <v>892</v>
      </c>
      <c r="BA222" s="28" t="s">
        <v>895</v>
      </c>
      <c r="BC222" s="32">
        <f>AW222+AX222</f>
        <v>0</v>
      </c>
      <c r="BD222" s="32">
        <f>H222/(100-BE222)*100</f>
        <v>0</v>
      </c>
      <c r="BE222" s="32">
        <v>0</v>
      </c>
      <c r="BF222" s="32">
        <f>220</f>
        <v>220</v>
      </c>
      <c r="BH222" s="15">
        <f>G222*AO222</f>
        <v>0</v>
      </c>
      <c r="BI222" s="15">
        <f>G222*AP222</f>
        <v>0</v>
      </c>
      <c r="BJ222" s="15">
        <f>G222*H222</f>
        <v>0</v>
      </c>
    </row>
    <row r="223" spans="1:62" x14ac:dyDescent="0.2">
      <c r="C223" s="58" t="s">
        <v>539</v>
      </c>
      <c r="D223" s="59"/>
      <c r="E223" s="59"/>
      <c r="G223" s="16">
        <v>165.6</v>
      </c>
    </row>
    <row r="224" spans="1:62" x14ac:dyDescent="0.2">
      <c r="C224" s="58" t="s">
        <v>540</v>
      </c>
      <c r="D224" s="59"/>
      <c r="E224" s="59"/>
      <c r="G224" s="16">
        <v>27</v>
      </c>
    </row>
    <row r="225" spans="1:62" x14ac:dyDescent="0.2">
      <c r="C225" s="58" t="s">
        <v>541</v>
      </c>
      <c r="D225" s="59"/>
      <c r="E225" s="59"/>
      <c r="G225" s="16">
        <v>1.8</v>
      </c>
    </row>
    <row r="226" spans="1:62" x14ac:dyDescent="0.2">
      <c r="C226" s="58" t="s">
        <v>542</v>
      </c>
      <c r="D226" s="59"/>
      <c r="E226" s="59"/>
      <c r="G226" s="16">
        <v>9</v>
      </c>
    </row>
    <row r="227" spans="1:62" x14ac:dyDescent="0.2">
      <c r="C227" s="58" t="s">
        <v>543</v>
      </c>
      <c r="D227" s="59"/>
      <c r="E227" s="59"/>
      <c r="G227" s="16">
        <v>3.6</v>
      </c>
    </row>
    <row r="228" spans="1:62" x14ac:dyDescent="0.2">
      <c r="A228" s="4" t="s">
        <v>79</v>
      </c>
      <c r="B228" s="4" t="s">
        <v>248</v>
      </c>
      <c r="C228" s="56" t="s">
        <v>544</v>
      </c>
      <c r="D228" s="57"/>
      <c r="E228" s="57"/>
      <c r="F228" s="4" t="s">
        <v>826</v>
      </c>
      <c r="G228" s="15">
        <v>142</v>
      </c>
      <c r="H228" s="15">
        <v>0</v>
      </c>
      <c r="I228" s="15">
        <f>G228*AO228</f>
        <v>0</v>
      </c>
      <c r="J228" s="15">
        <f>G228*AP228</f>
        <v>0</v>
      </c>
      <c r="K228" s="15">
        <f>G228*H228</f>
        <v>0</v>
      </c>
      <c r="L228" s="27" t="s">
        <v>846</v>
      </c>
      <c r="Z228" s="32">
        <f>IF(AQ228="5",BJ228,0)</f>
        <v>0</v>
      </c>
      <c r="AB228" s="32">
        <f>IF(AQ228="1",BH228,0)</f>
        <v>0</v>
      </c>
      <c r="AC228" s="32">
        <f>IF(AQ228="1",BI228,0)</f>
        <v>0</v>
      </c>
      <c r="AD228" s="32">
        <f>IF(AQ228="7",BH228,0)</f>
        <v>0</v>
      </c>
      <c r="AE228" s="32">
        <f>IF(AQ228="7",BI228,0)</f>
        <v>0</v>
      </c>
      <c r="AF228" s="32">
        <f>IF(AQ228="2",BH228,0)</f>
        <v>0</v>
      </c>
      <c r="AG228" s="32">
        <f>IF(AQ228="2",BI228,0)</f>
        <v>0</v>
      </c>
      <c r="AH228" s="32">
        <f>IF(AQ228="0",BJ228,0)</f>
        <v>0</v>
      </c>
      <c r="AI228" s="28"/>
      <c r="AJ228" s="15">
        <f>IF(AN228=0,K228,0)</f>
        <v>0</v>
      </c>
      <c r="AK228" s="15">
        <f>IF(AN228=15,K228,0)</f>
        <v>0</v>
      </c>
      <c r="AL228" s="15">
        <f>IF(AN228=21,K228,0)</f>
        <v>0</v>
      </c>
      <c r="AN228" s="32">
        <v>21</v>
      </c>
      <c r="AO228" s="32">
        <f>H228*0</f>
        <v>0</v>
      </c>
      <c r="AP228" s="32">
        <f>H228*(1-0)</f>
        <v>0</v>
      </c>
      <c r="AQ228" s="27" t="s">
        <v>13</v>
      </c>
      <c r="AV228" s="32">
        <f>AW228+AX228</f>
        <v>0</v>
      </c>
      <c r="AW228" s="32">
        <f>G228*AO228</f>
        <v>0</v>
      </c>
      <c r="AX228" s="32">
        <f>G228*AP228</f>
        <v>0</v>
      </c>
      <c r="AY228" s="33" t="s">
        <v>874</v>
      </c>
      <c r="AZ228" s="33" t="s">
        <v>892</v>
      </c>
      <c r="BA228" s="28" t="s">
        <v>895</v>
      </c>
      <c r="BC228" s="32">
        <f>AW228+AX228</f>
        <v>0</v>
      </c>
      <c r="BD228" s="32">
        <f>H228/(100-BE228)*100</f>
        <v>0</v>
      </c>
      <c r="BE228" s="32">
        <v>0</v>
      </c>
      <c r="BF228" s="32">
        <f>226</f>
        <v>226</v>
      </c>
      <c r="BH228" s="15">
        <f>G228*AO228</f>
        <v>0</v>
      </c>
      <c r="BI228" s="15">
        <f>G228*AP228</f>
        <v>0</v>
      </c>
      <c r="BJ228" s="15">
        <f>G228*H228</f>
        <v>0</v>
      </c>
    </row>
    <row r="229" spans="1:62" x14ac:dyDescent="0.2">
      <c r="C229" s="58" t="s">
        <v>545</v>
      </c>
      <c r="D229" s="59"/>
      <c r="E229" s="59"/>
      <c r="G229" s="16">
        <v>142</v>
      </c>
    </row>
    <row r="230" spans="1:62" x14ac:dyDescent="0.2">
      <c r="A230" s="4" t="s">
        <v>80</v>
      </c>
      <c r="B230" s="4" t="s">
        <v>249</v>
      </c>
      <c r="C230" s="56" t="s">
        <v>546</v>
      </c>
      <c r="D230" s="57"/>
      <c r="E230" s="57"/>
      <c r="F230" s="4" t="s">
        <v>823</v>
      </c>
      <c r="G230" s="15">
        <v>23.885000000000002</v>
      </c>
      <c r="H230" s="15">
        <v>0</v>
      </c>
      <c r="I230" s="15">
        <f>G230*AO230</f>
        <v>0</v>
      </c>
      <c r="J230" s="15">
        <f>G230*AP230</f>
        <v>0</v>
      </c>
      <c r="K230" s="15">
        <f>G230*H230</f>
        <v>0</v>
      </c>
      <c r="L230" s="27" t="s">
        <v>846</v>
      </c>
      <c r="Z230" s="32">
        <f>IF(AQ230="5",BJ230,0)</f>
        <v>0</v>
      </c>
      <c r="AB230" s="32">
        <f>IF(AQ230="1",BH230,0)</f>
        <v>0</v>
      </c>
      <c r="AC230" s="32">
        <f>IF(AQ230="1",BI230,0)</f>
        <v>0</v>
      </c>
      <c r="AD230" s="32">
        <f>IF(AQ230="7",BH230,0)</f>
        <v>0</v>
      </c>
      <c r="AE230" s="32">
        <f>IF(AQ230="7",BI230,0)</f>
        <v>0</v>
      </c>
      <c r="AF230" s="32">
        <f>IF(AQ230="2",BH230,0)</f>
        <v>0</v>
      </c>
      <c r="AG230" s="32">
        <f>IF(AQ230="2",BI230,0)</f>
        <v>0</v>
      </c>
      <c r="AH230" s="32">
        <f>IF(AQ230="0",BJ230,0)</f>
        <v>0</v>
      </c>
      <c r="AI230" s="28"/>
      <c r="AJ230" s="15">
        <f>IF(AN230=0,K230,0)</f>
        <v>0</v>
      </c>
      <c r="AK230" s="15">
        <f>IF(AN230=15,K230,0)</f>
        <v>0</v>
      </c>
      <c r="AL230" s="15">
        <f>IF(AN230=21,K230,0)</f>
        <v>0</v>
      </c>
      <c r="AN230" s="32">
        <v>21</v>
      </c>
      <c r="AO230" s="32">
        <f>H230*0</f>
        <v>0</v>
      </c>
      <c r="AP230" s="32">
        <f>H230*(1-0)</f>
        <v>0</v>
      </c>
      <c r="AQ230" s="27" t="s">
        <v>13</v>
      </c>
      <c r="AV230" s="32">
        <f>AW230+AX230</f>
        <v>0</v>
      </c>
      <c r="AW230" s="32">
        <f>G230*AO230</f>
        <v>0</v>
      </c>
      <c r="AX230" s="32">
        <f>G230*AP230</f>
        <v>0</v>
      </c>
      <c r="AY230" s="33" t="s">
        <v>874</v>
      </c>
      <c r="AZ230" s="33" t="s">
        <v>892</v>
      </c>
      <c r="BA230" s="28" t="s">
        <v>895</v>
      </c>
      <c r="BC230" s="32">
        <f>AW230+AX230</f>
        <v>0</v>
      </c>
      <c r="BD230" s="32">
        <f>H230/(100-BE230)*100</f>
        <v>0</v>
      </c>
      <c r="BE230" s="32">
        <v>0</v>
      </c>
      <c r="BF230" s="32">
        <f>228</f>
        <v>228</v>
      </c>
      <c r="BH230" s="15">
        <f>G230*AO230</f>
        <v>0</v>
      </c>
      <c r="BI230" s="15">
        <f>G230*AP230</f>
        <v>0</v>
      </c>
      <c r="BJ230" s="15">
        <f>G230*H230</f>
        <v>0</v>
      </c>
    </row>
    <row r="231" spans="1:62" x14ac:dyDescent="0.2">
      <c r="C231" s="58" t="s">
        <v>547</v>
      </c>
      <c r="D231" s="59"/>
      <c r="E231" s="59"/>
      <c r="G231" s="16">
        <v>0.58499999999999996</v>
      </c>
    </row>
    <row r="232" spans="1:62" x14ac:dyDescent="0.2">
      <c r="C232" s="58" t="s">
        <v>548</v>
      </c>
      <c r="D232" s="59"/>
      <c r="E232" s="59"/>
      <c r="G232" s="16">
        <v>0.3</v>
      </c>
    </row>
    <row r="233" spans="1:62" x14ac:dyDescent="0.2">
      <c r="C233" s="58" t="s">
        <v>549</v>
      </c>
      <c r="D233" s="59"/>
      <c r="E233" s="59"/>
      <c r="G233" s="16">
        <v>23</v>
      </c>
    </row>
    <row r="234" spans="1:62" x14ac:dyDescent="0.2">
      <c r="A234" s="4" t="s">
        <v>81</v>
      </c>
      <c r="B234" s="4" t="s">
        <v>250</v>
      </c>
      <c r="C234" s="56" t="s">
        <v>550</v>
      </c>
      <c r="D234" s="57"/>
      <c r="E234" s="57"/>
      <c r="F234" s="4" t="s">
        <v>826</v>
      </c>
      <c r="G234" s="15">
        <v>210</v>
      </c>
      <c r="H234" s="15">
        <v>0</v>
      </c>
      <c r="I234" s="15">
        <f>G234*AO234</f>
        <v>0</v>
      </c>
      <c r="J234" s="15">
        <f>G234*AP234</f>
        <v>0</v>
      </c>
      <c r="K234" s="15">
        <f>G234*H234</f>
        <v>0</v>
      </c>
      <c r="L234" s="27" t="s">
        <v>846</v>
      </c>
      <c r="Z234" s="32">
        <f>IF(AQ234="5",BJ234,0)</f>
        <v>0</v>
      </c>
      <c r="AB234" s="32">
        <f>IF(AQ234="1",BH234,0)</f>
        <v>0</v>
      </c>
      <c r="AC234" s="32">
        <f>IF(AQ234="1",BI234,0)</f>
        <v>0</v>
      </c>
      <c r="AD234" s="32">
        <f>IF(AQ234="7",BH234,0)</f>
        <v>0</v>
      </c>
      <c r="AE234" s="32">
        <f>IF(AQ234="7",BI234,0)</f>
        <v>0</v>
      </c>
      <c r="AF234" s="32">
        <f>IF(AQ234="2",BH234,0)</f>
        <v>0</v>
      </c>
      <c r="AG234" s="32">
        <f>IF(AQ234="2",BI234,0)</f>
        <v>0</v>
      </c>
      <c r="AH234" s="32">
        <f>IF(AQ234="0",BJ234,0)</f>
        <v>0</v>
      </c>
      <c r="AI234" s="28"/>
      <c r="AJ234" s="15">
        <f>IF(AN234=0,K234,0)</f>
        <v>0</v>
      </c>
      <c r="AK234" s="15">
        <f>IF(AN234=15,K234,0)</f>
        <v>0</v>
      </c>
      <c r="AL234" s="15">
        <f>IF(AN234=21,K234,0)</f>
        <v>0</v>
      </c>
      <c r="AN234" s="32">
        <v>21</v>
      </c>
      <c r="AO234" s="32">
        <f>H234*0.200098039215686</f>
        <v>0</v>
      </c>
      <c r="AP234" s="32">
        <f>H234*(1-0.200098039215686)</f>
        <v>0</v>
      </c>
      <c r="AQ234" s="27" t="s">
        <v>13</v>
      </c>
      <c r="AV234" s="32">
        <f>AW234+AX234</f>
        <v>0</v>
      </c>
      <c r="AW234" s="32">
        <f>G234*AO234</f>
        <v>0</v>
      </c>
      <c r="AX234" s="32">
        <f>G234*AP234</f>
        <v>0</v>
      </c>
      <c r="AY234" s="33" t="s">
        <v>874</v>
      </c>
      <c r="AZ234" s="33" t="s">
        <v>892</v>
      </c>
      <c r="BA234" s="28" t="s">
        <v>895</v>
      </c>
      <c r="BC234" s="32">
        <f>AW234+AX234</f>
        <v>0</v>
      </c>
      <c r="BD234" s="32">
        <f>H234/(100-BE234)*100</f>
        <v>0</v>
      </c>
      <c r="BE234" s="32">
        <v>0</v>
      </c>
      <c r="BF234" s="32">
        <f>232</f>
        <v>232</v>
      </c>
      <c r="BH234" s="15">
        <f>G234*AO234</f>
        <v>0</v>
      </c>
      <c r="BI234" s="15">
        <f>G234*AP234</f>
        <v>0</v>
      </c>
      <c r="BJ234" s="15">
        <f>G234*H234</f>
        <v>0</v>
      </c>
    </row>
    <row r="235" spans="1:62" x14ac:dyDescent="0.2">
      <c r="C235" s="58" t="s">
        <v>551</v>
      </c>
      <c r="D235" s="59"/>
      <c r="E235" s="59"/>
      <c r="G235" s="16">
        <v>0.6</v>
      </c>
    </row>
    <row r="236" spans="1:62" x14ac:dyDescent="0.2">
      <c r="C236" s="58" t="s">
        <v>552</v>
      </c>
      <c r="D236" s="59"/>
      <c r="E236" s="59"/>
      <c r="G236" s="16">
        <v>3.6</v>
      </c>
    </row>
    <row r="237" spans="1:62" x14ac:dyDescent="0.2">
      <c r="C237" s="58" t="s">
        <v>553</v>
      </c>
      <c r="D237" s="59"/>
      <c r="E237" s="59"/>
      <c r="G237" s="16">
        <v>2.4</v>
      </c>
    </row>
    <row r="238" spans="1:62" x14ac:dyDescent="0.2">
      <c r="C238" s="58" t="s">
        <v>554</v>
      </c>
      <c r="D238" s="59"/>
      <c r="E238" s="59"/>
      <c r="G238" s="16">
        <v>165.6</v>
      </c>
    </row>
    <row r="239" spans="1:62" x14ac:dyDescent="0.2">
      <c r="C239" s="58" t="s">
        <v>555</v>
      </c>
      <c r="D239" s="59"/>
      <c r="E239" s="59"/>
      <c r="G239" s="16">
        <v>27</v>
      </c>
    </row>
    <row r="240" spans="1:62" x14ac:dyDescent="0.2">
      <c r="C240" s="58" t="s">
        <v>556</v>
      </c>
      <c r="D240" s="59"/>
      <c r="E240" s="59"/>
      <c r="G240" s="16">
        <v>1.8</v>
      </c>
    </row>
    <row r="241" spans="1:62" x14ac:dyDescent="0.2">
      <c r="C241" s="58" t="s">
        <v>557</v>
      </c>
      <c r="D241" s="59"/>
      <c r="E241" s="59"/>
      <c r="G241" s="16">
        <v>9</v>
      </c>
    </row>
    <row r="242" spans="1:62" x14ac:dyDescent="0.2">
      <c r="A242" s="4" t="s">
        <v>82</v>
      </c>
      <c r="B242" s="4" t="s">
        <v>251</v>
      </c>
      <c r="C242" s="56" t="s">
        <v>953</v>
      </c>
      <c r="D242" s="57"/>
      <c r="E242" s="57"/>
      <c r="F242" s="4" t="s">
        <v>823</v>
      </c>
      <c r="G242" s="15">
        <v>23</v>
      </c>
      <c r="H242" s="15">
        <v>0</v>
      </c>
      <c r="I242" s="15">
        <f>G242*AO242</f>
        <v>0</v>
      </c>
      <c r="J242" s="15">
        <f>G242*AP242</f>
        <v>0</v>
      </c>
      <c r="K242" s="15">
        <f>G242*H242</f>
        <v>0</v>
      </c>
      <c r="L242" s="27" t="s">
        <v>846</v>
      </c>
      <c r="Z242" s="32">
        <f>IF(AQ242="5",BJ242,0)</f>
        <v>0</v>
      </c>
      <c r="AB242" s="32">
        <f>IF(AQ242="1",BH242,0)</f>
        <v>0</v>
      </c>
      <c r="AC242" s="32">
        <f>IF(AQ242="1",BI242,0)</f>
        <v>0</v>
      </c>
      <c r="AD242" s="32">
        <f>IF(AQ242="7",BH242,0)</f>
        <v>0</v>
      </c>
      <c r="AE242" s="32">
        <f>IF(AQ242="7",BI242,0)</f>
        <v>0</v>
      </c>
      <c r="AF242" s="32">
        <f>IF(AQ242="2",BH242,0)</f>
        <v>0</v>
      </c>
      <c r="AG242" s="32">
        <f>IF(AQ242="2",BI242,0)</f>
        <v>0</v>
      </c>
      <c r="AH242" s="32">
        <f>IF(AQ242="0",BJ242,0)</f>
        <v>0</v>
      </c>
      <c r="AI242" s="28"/>
      <c r="AJ242" s="15">
        <f>IF(AN242=0,K242,0)</f>
        <v>0</v>
      </c>
      <c r="AK242" s="15">
        <f>IF(AN242=15,K242,0)</f>
        <v>0</v>
      </c>
      <c r="AL242" s="15">
        <f>IF(AN242=21,K242,0)</f>
        <v>0</v>
      </c>
      <c r="AN242" s="32">
        <v>21</v>
      </c>
      <c r="AO242" s="32">
        <f>H242*0.507946107784431</f>
        <v>0</v>
      </c>
      <c r="AP242" s="32">
        <f>H242*(1-0.507946107784431)</f>
        <v>0</v>
      </c>
      <c r="AQ242" s="27" t="s">
        <v>13</v>
      </c>
      <c r="AV242" s="32">
        <f>AW242+AX242</f>
        <v>0</v>
      </c>
      <c r="AW242" s="32">
        <f>G242*AO242</f>
        <v>0</v>
      </c>
      <c r="AX242" s="32">
        <f>G242*AP242</f>
        <v>0</v>
      </c>
      <c r="AY242" s="33" t="s">
        <v>874</v>
      </c>
      <c r="AZ242" s="33" t="s">
        <v>892</v>
      </c>
      <c r="BA242" s="28" t="s">
        <v>895</v>
      </c>
      <c r="BC242" s="32">
        <f>AW242+AX242</f>
        <v>0</v>
      </c>
      <c r="BD242" s="32">
        <f>H242/(100-BE242)*100</f>
        <v>0</v>
      </c>
      <c r="BE242" s="32">
        <v>0</v>
      </c>
      <c r="BF242" s="32">
        <f>240</f>
        <v>240</v>
      </c>
      <c r="BH242" s="15">
        <f>G242*AO242</f>
        <v>0</v>
      </c>
      <c r="BI242" s="15">
        <f>G242*AP242</f>
        <v>0</v>
      </c>
      <c r="BJ242" s="15">
        <f>G242*H242</f>
        <v>0</v>
      </c>
    </row>
    <row r="243" spans="1:62" x14ac:dyDescent="0.2">
      <c r="C243" s="58" t="s">
        <v>558</v>
      </c>
      <c r="D243" s="59"/>
      <c r="E243" s="59"/>
      <c r="G243" s="16">
        <v>23</v>
      </c>
    </row>
    <row r="244" spans="1:62" x14ac:dyDescent="0.2">
      <c r="A244" s="4" t="s">
        <v>83</v>
      </c>
      <c r="B244" s="4" t="s">
        <v>252</v>
      </c>
      <c r="C244" s="56" t="s">
        <v>559</v>
      </c>
      <c r="D244" s="57"/>
      <c r="E244" s="57"/>
      <c r="F244" s="4" t="s">
        <v>826</v>
      </c>
      <c r="G244" s="15">
        <v>3.5</v>
      </c>
      <c r="H244" s="15">
        <v>0</v>
      </c>
      <c r="I244" s="15">
        <f>G244*AO244</f>
        <v>0</v>
      </c>
      <c r="J244" s="15">
        <f>G244*AP244</f>
        <v>0</v>
      </c>
      <c r="K244" s="15">
        <f>G244*H244</f>
        <v>0</v>
      </c>
      <c r="L244" s="27" t="s">
        <v>846</v>
      </c>
      <c r="Z244" s="32">
        <f>IF(AQ244="5",BJ244,0)</f>
        <v>0</v>
      </c>
      <c r="AB244" s="32">
        <f>IF(AQ244="1",BH244,0)</f>
        <v>0</v>
      </c>
      <c r="AC244" s="32">
        <f>IF(AQ244="1",BI244,0)</f>
        <v>0</v>
      </c>
      <c r="AD244" s="32">
        <f>IF(AQ244="7",BH244,0)</f>
        <v>0</v>
      </c>
      <c r="AE244" s="32">
        <f>IF(AQ244="7",BI244,0)</f>
        <v>0</v>
      </c>
      <c r="AF244" s="32">
        <f>IF(AQ244="2",BH244,0)</f>
        <v>0</v>
      </c>
      <c r="AG244" s="32">
        <f>IF(AQ244="2",BI244,0)</f>
        <v>0</v>
      </c>
      <c r="AH244" s="32">
        <f>IF(AQ244="0",BJ244,0)</f>
        <v>0</v>
      </c>
      <c r="AI244" s="28"/>
      <c r="AJ244" s="15">
        <f>IF(AN244=0,K244,0)</f>
        <v>0</v>
      </c>
      <c r="AK244" s="15">
        <f>IF(AN244=15,K244,0)</f>
        <v>0</v>
      </c>
      <c r="AL244" s="15">
        <f>IF(AN244=21,K244,0)</f>
        <v>0</v>
      </c>
      <c r="AN244" s="32">
        <v>21</v>
      </c>
      <c r="AO244" s="32">
        <f>H244*0</f>
        <v>0</v>
      </c>
      <c r="AP244" s="32">
        <f>H244*(1-0)</f>
        <v>0</v>
      </c>
      <c r="AQ244" s="27" t="s">
        <v>13</v>
      </c>
      <c r="AV244" s="32">
        <f>AW244+AX244</f>
        <v>0</v>
      </c>
      <c r="AW244" s="32">
        <f>G244*AO244</f>
        <v>0</v>
      </c>
      <c r="AX244" s="32">
        <f>G244*AP244</f>
        <v>0</v>
      </c>
      <c r="AY244" s="33" t="s">
        <v>874</v>
      </c>
      <c r="AZ244" s="33" t="s">
        <v>892</v>
      </c>
      <c r="BA244" s="28" t="s">
        <v>895</v>
      </c>
      <c r="BC244" s="32">
        <f>AW244+AX244</f>
        <v>0</v>
      </c>
      <c r="BD244" s="32">
        <f>H244/(100-BE244)*100</f>
        <v>0</v>
      </c>
      <c r="BE244" s="32">
        <v>0</v>
      </c>
      <c r="BF244" s="32">
        <f>242</f>
        <v>242</v>
      </c>
      <c r="BH244" s="15">
        <f>G244*AO244</f>
        <v>0</v>
      </c>
      <c r="BI244" s="15">
        <f>G244*AP244</f>
        <v>0</v>
      </c>
      <c r="BJ244" s="15">
        <f>G244*H244</f>
        <v>0</v>
      </c>
    </row>
    <row r="245" spans="1:62" x14ac:dyDescent="0.2">
      <c r="C245" s="58" t="s">
        <v>560</v>
      </c>
      <c r="D245" s="59"/>
      <c r="E245" s="59"/>
      <c r="G245" s="16">
        <v>3.5</v>
      </c>
    </row>
    <row r="246" spans="1:62" x14ac:dyDescent="0.2">
      <c r="A246" s="4" t="s">
        <v>84</v>
      </c>
      <c r="B246" s="4" t="s">
        <v>253</v>
      </c>
      <c r="C246" s="56" t="s">
        <v>561</v>
      </c>
      <c r="D246" s="57"/>
      <c r="E246" s="57"/>
      <c r="F246" s="4" t="s">
        <v>827</v>
      </c>
      <c r="G246" s="15">
        <v>3</v>
      </c>
      <c r="H246" s="15">
        <v>0</v>
      </c>
      <c r="I246" s="15">
        <f>G246*AO246</f>
        <v>0</v>
      </c>
      <c r="J246" s="15">
        <f>G246*AP246</f>
        <v>0</v>
      </c>
      <c r="K246" s="15">
        <f>G246*H246</f>
        <v>0</v>
      </c>
      <c r="L246" s="27" t="s">
        <v>846</v>
      </c>
      <c r="Z246" s="32">
        <f>IF(AQ246="5",BJ246,0)</f>
        <v>0</v>
      </c>
      <c r="AB246" s="32">
        <f>IF(AQ246="1",BH246,0)</f>
        <v>0</v>
      </c>
      <c r="AC246" s="32">
        <f>IF(AQ246="1",BI246,0)</f>
        <v>0</v>
      </c>
      <c r="AD246" s="32">
        <f>IF(AQ246="7",BH246,0)</f>
        <v>0</v>
      </c>
      <c r="AE246" s="32">
        <f>IF(AQ246="7",BI246,0)</f>
        <v>0</v>
      </c>
      <c r="AF246" s="32">
        <f>IF(AQ246="2",BH246,0)</f>
        <v>0</v>
      </c>
      <c r="AG246" s="32">
        <f>IF(AQ246="2",BI246,0)</f>
        <v>0</v>
      </c>
      <c r="AH246" s="32">
        <f>IF(AQ246="0",BJ246,0)</f>
        <v>0</v>
      </c>
      <c r="AI246" s="28"/>
      <c r="AJ246" s="15">
        <f>IF(AN246=0,K246,0)</f>
        <v>0</v>
      </c>
      <c r="AK246" s="15">
        <f>IF(AN246=15,K246,0)</f>
        <v>0</v>
      </c>
      <c r="AL246" s="15">
        <f>IF(AN246=21,K246,0)</f>
        <v>0</v>
      </c>
      <c r="AN246" s="32">
        <v>21</v>
      </c>
      <c r="AO246" s="32">
        <f>H246*0.108682170542636</f>
        <v>0</v>
      </c>
      <c r="AP246" s="32">
        <f>H246*(1-0.108682170542636)</f>
        <v>0</v>
      </c>
      <c r="AQ246" s="27" t="s">
        <v>13</v>
      </c>
      <c r="AV246" s="32">
        <f>AW246+AX246</f>
        <v>0</v>
      </c>
      <c r="AW246" s="32">
        <f>G246*AO246</f>
        <v>0</v>
      </c>
      <c r="AX246" s="32">
        <f>G246*AP246</f>
        <v>0</v>
      </c>
      <c r="AY246" s="33" t="s">
        <v>874</v>
      </c>
      <c r="AZ246" s="33" t="s">
        <v>892</v>
      </c>
      <c r="BA246" s="28" t="s">
        <v>895</v>
      </c>
      <c r="BC246" s="32">
        <f>AW246+AX246</f>
        <v>0</v>
      </c>
      <c r="BD246" s="32">
        <f>H246/(100-BE246)*100</f>
        <v>0</v>
      </c>
      <c r="BE246" s="32">
        <v>0</v>
      </c>
      <c r="BF246" s="32">
        <f>244</f>
        <v>244</v>
      </c>
      <c r="BH246" s="15">
        <f>G246*AO246</f>
        <v>0</v>
      </c>
      <c r="BI246" s="15">
        <f>G246*AP246</f>
        <v>0</v>
      </c>
      <c r="BJ246" s="15">
        <f>G246*H246</f>
        <v>0</v>
      </c>
    </row>
    <row r="247" spans="1:62" x14ac:dyDescent="0.2">
      <c r="C247" s="58" t="s">
        <v>562</v>
      </c>
      <c r="D247" s="59"/>
      <c r="E247" s="59"/>
      <c r="G247" s="16">
        <v>3</v>
      </c>
    </row>
    <row r="248" spans="1:62" x14ac:dyDescent="0.2">
      <c r="A248" s="4" t="s">
        <v>85</v>
      </c>
      <c r="B248" s="4" t="s">
        <v>254</v>
      </c>
      <c r="C248" s="56" t="s">
        <v>563</v>
      </c>
      <c r="D248" s="57"/>
      <c r="E248" s="57"/>
      <c r="F248" s="4" t="s">
        <v>827</v>
      </c>
      <c r="G248" s="15">
        <v>1</v>
      </c>
      <c r="H248" s="15">
        <v>0</v>
      </c>
      <c r="I248" s="15">
        <f>G248*AO248</f>
        <v>0</v>
      </c>
      <c r="J248" s="15">
        <f>G248*AP248</f>
        <v>0</v>
      </c>
      <c r="K248" s="15">
        <f>G248*H248</f>
        <v>0</v>
      </c>
      <c r="L248" s="27" t="s">
        <v>846</v>
      </c>
      <c r="Z248" s="32">
        <f>IF(AQ248="5",BJ248,0)</f>
        <v>0</v>
      </c>
      <c r="AB248" s="32">
        <f>IF(AQ248="1",BH248,0)</f>
        <v>0</v>
      </c>
      <c r="AC248" s="32">
        <f>IF(AQ248="1",BI248,0)</f>
        <v>0</v>
      </c>
      <c r="AD248" s="32">
        <f>IF(AQ248="7",BH248,0)</f>
        <v>0</v>
      </c>
      <c r="AE248" s="32">
        <f>IF(AQ248="7",BI248,0)</f>
        <v>0</v>
      </c>
      <c r="AF248" s="32">
        <f>IF(AQ248="2",BH248,0)</f>
        <v>0</v>
      </c>
      <c r="AG248" s="32">
        <f>IF(AQ248="2",BI248,0)</f>
        <v>0</v>
      </c>
      <c r="AH248" s="32">
        <f>IF(AQ248="0",BJ248,0)</f>
        <v>0</v>
      </c>
      <c r="AI248" s="28"/>
      <c r="AJ248" s="15">
        <f>IF(AN248=0,K248,0)</f>
        <v>0</v>
      </c>
      <c r="AK248" s="15">
        <f>IF(AN248=15,K248,0)</f>
        <v>0</v>
      </c>
      <c r="AL248" s="15">
        <f>IF(AN248=21,K248,0)</f>
        <v>0</v>
      </c>
      <c r="AN248" s="32">
        <v>21</v>
      </c>
      <c r="AO248" s="32">
        <f>H248*0</f>
        <v>0</v>
      </c>
      <c r="AP248" s="32">
        <f>H248*(1-0)</f>
        <v>0</v>
      </c>
      <c r="AQ248" s="27" t="s">
        <v>13</v>
      </c>
      <c r="AV248" s="32">
        <f>AW248+AX248</f>
        <v>0</v>
      </c>
      <c r="AW248" s="32">
        <f>G248*AO248</f>
        <v>0</v>
      </c>
      <c r="AX248" s="32">
        <f>G248*AP248</f>
        <v>0</v>
      </c>
      <c r="AY248" s="33" t="s">
        <v>874</v>
      </c>
      <c r="AZ248" s="33" t="s">
        <v>892</v>
      </c>
      <c r="BA248" s="28" t="s">
        <v>895</v>
      </c>
      <c r="BC248" s="32">
        <f>AW248+AX248</f>
        <v>0</v>
      </c>
      <c r="BD248" s="32">
        <f>H248/(100-BE248)*100</f>
        <v>0</v>
      </c>
      <c r="BE248" s="32">
        <v>0</v>
      </c>
      <c r="BF248" s="32">
        <f>246</f>
        <v>246</v>
      </c>
      <c r="BH248" s="15">
        <f>G248*AO248</f>
        <v>0</v>
      </c>
      <c r="BI248" s="15">
        <f>G248*AP248</f>
        <v>0</v>
      </c>
      <c r="BJ248" s="15">
        <f>G248*H248</f>
        <v>0</v>
      </c>
    </row>
    <row r="249" spans="1:62" x14ac:dyDescent="0.2">
      <c r="C249" s="58" t="s">
        <v>564</v>
      </c>
      <c r="D249" s="59"/>
      <c r="E249" s="59"/>
      <c r="G249" s="16">
        <v>1</v>
      </c>
    </row>
    <row r="250" spans="1:62" x14ac:dyDescent="0.2">
      <c r="A250" s="4" t="s">
        <v>86</v>
      </c>
      <c r="B250" s="4" t="s">
        <v>255</v>
      </c>
      <c r="C250" s="56" t="s">
        <v>565</v>
      </c>
      <c r="D250" s="57"/>
      <c r="E250" s="57"/>
      <c r="F250" s="4" t="s">
        <v>826</v>
      </c>
      <c r="G250" s="15">
        <v>4</v>
      </c>
      <c r="H250" s="15">
        <v>0</v>
      </c>
      <c r="I250" s="15">
        <f>G250*AO250</f>
        <v>0</v>
      </c>
      <c r="J250" s="15">
        <f>G250*AP250</f>
        <v>0</v>
      </c>
      <c r="K250" s="15">
        <f>G250*H250</f>
        <v>0</v>
      </c>
      <c r="L250" s="27" t="s">
        <v>846</v>
      </c>
      <c r="Z250" s="32">
        <f>IF(AQ250="5",BJ250,0)</f>
        <v>0</v>
      </c>
      <c r="AB250" s="32">
        <f>IF(AQ250="1",BH250,0)</f>
        <v>0</v>
      </c>
      <c r="AC250" s="32">
        <f>IF(AQ250="1",BI250,0)</f>
        <v>0</v>
      </c>
      <c r="AD250" s="32">
        <f>IF(AQ250="7",BH250,0)</f>
        <v>0</v>
      </c>
      <c r="AE250" s="32">
        <f>IF(AQ250="7",BI250,0)</f>
        <v>0</v>
      </c>
      <c r="AF250" s="32">
        <f>IF(AQ250="2",BH250,0)</f>
        <v>0</v>
      </c>
      <c r="AG250" s="32">
        <f>IF(AQ250="2",BI250,0)</f>
        <v>0</v>
      </c>
      <c r="AH250" s="32">
        <f>IF(AQ250="0",BJ250,0)</f>
        <v>0</v>
      </c>
      <c r="AI250" s="28"/>
      <c r="AJ250" s="15">
        <f>IF(AN250=0,K250,0)</f>
        <v>0</v>
      </c>
      <c r="AK250" s="15">
        <f>IF(AN250=15,K250,0)</f>
        <v>0</v>
      </c>
      <c r="AL250" s="15">
        <f>IF(AN250=21,K250,0)</f>
        <v>0</v>
      </c>
      <c r="AN250" s="32">
        <v>21</v>
      </c>
      <c r="AO250" s="32">
        <f>H250*0</f>
        <v>0</v>
      </c>
      <c r="AP250" s="32">
        <f>H250*(1-0)</f>
        <v>0</v>
      </c>
      <c r="AQ250" s="27" t="s">
        <v>13</v>
      </c>
      <c r="AV250" s="32">
        <f>AW250+AX250</f>
        <v>0</v>
      </c>
      <c r="AW250" s="32">
        <f>G250*AO250</f>
        <v>0</v>
      </c>
      <c r="AX250" s="32">
        <f>G250*AP250</f>
        <v>0</v>
      </c>
      <c r="AY250" s="33" t="s">
        <v>874</v>
      </c>
      <c r="AZ250" s="33" t="s">
        <v>892</v>
      </c>
      <c r="BA250" s="28" t="s">
        <v>895</v>
      </c>
      <c r="BC250" s="32">
        <f>AW250+AX250</f>
        <v>0</v>
      </c>
      <c r="BD250" s="32">
        <f>H250/(100-BE250)*100</f>
        <v>0</v>
      </c>
      <c r="BE250" s="32">
        <v>0</v>
      </c>
      <c r="BF250" s="32">
        <f>248</f>
        <v>248</v>
      </c>
      <c r="BH250" s="15">
        <f>G250*AO250</f>
        <v>0</v>
      </c>
      <c r="BI250" s="15">
        <f>G250*AP250</f>
        <v>0</v>
      </c>
      <c r="BJ250" s="15">
        <f>G250*H250</f>
        <v>0</v>
      </c>
    </row>
    <row r="251" spans="1:62" x14ac:dyDescent="0.2">
      <c r="C251" s="58" t="s">
        <v>566</v>
      </c>
      <c r="D251" s="59"/>
      <c r="E251" s="59"/>
      <c r="G251" s="16">
        <v>4</v>
      </c>
    </row>
    <row r="252" spans="1:62" x14ac:dyDescent="0.2">
      <c r="A252" s="4" t="s">
        <v>87</v>
      </c>
      <c r="B252" s="4" t="s">
        <v>256</v>
      </c>
      <c r="C252" s="56" t="s">
        <v>567</v>
      </c>
      <c r="D252" s="57"/>
      <c r="E252" s="57"/>
      <c r="F252" s="4" t="s">
        <v>827</v>
      </c>
      <c r="G252" s="15">
        <v>5</v>
      </c>
      <c r="H252" s="15">
        <v>0</v>
      </c>
      <c r="I252" s="15">
        <f>G252*AO252</f>
        <v>0</v>
      </c>
      <c r="J252" s="15">
        <f>G252*AP252</f>
        <v>0</v>
      </c>
      <c r="K252" s="15">
        <f>G252*H252</f>
        <v>0</v>
      </c>
      <c r="L252" s="27" t="s">
        <v>846</v>
      </c>
      <c r="Z252" s="32">
        <f>IF(AQ252="5",BJ252,0)</f>
        <v>0</v>
      </c>
      <c r="AB252" s="32">
        <f>IF(AQ252="1",BH252,0)</f>
        <v>0</v>
      </c>
      <c r="AC252" s="32">
        <f>IF(AQ252="1",BI252,0)</f>
        <v>0</v>
      </c>
      <c r="AD252" s="32">
        <f>IF(AQ252="7",BH252,0)</f>
        <v>0</v>
      </c>
      <c r="AE252" s="32">
        <f>IF(AQ252="7",BI252,0)</f>
        <v>0</v>
      </c>
      <c r="AF252" s="32">
        <f>IF(AQ252="2",BH252,0)</f>
        <v>0</v>
      </c>
      <c r="AG252" s="32">
        <f>IF(AQ252="2",BI252,0)</f>
        <v>0</v>
      </c>
      <c r="AH252" s="32">
        <f>IF(AQ252="0",BJ252,0)</f>
        <v>0</v>
      </c>
      <c r="AI252" s="28"/>
      <c r="AJ252" s="15">
        <f>IF(AN252=0,K252,0)</f>
        <v>0</v>
      </c>
      <c r="AK252" s="15">
        <f>IF(AN252=15,K252,0)</f>
        <v>0</v>
      </c>
      <c r="AL252" s="15">
        <f>IF(AN252=21,K252,0)</f>
        <v>0</v>
      </c>
      <c r="AN252" s="32">
        <v>21</v>
      </c>
      <c r="AO252" s="32">
        <f>H252*0</f>
        <v>0</v>
      </c>
      <c r="AP252" s="32">
        <f>H252*(1-0)</f>
        <v>0</v>
      </c>
      <c r="AQ252" s="27" t="s">
        <v>13</v>
      </c>
      <c r="AV252" s="32">
        <f>AW252+AX252</f>
        <v>0</v>
      </c>
      <c r="AW252" s="32">
        <f>G252*AO252</f>
        <v>0</v>
      </c>
      <c r="AX252" s="32">
        <f>G252*AP252</f>
        <v>0</v>
      </c>
      <c r="AY252" s="33" t="s">
        <v>874</v>
      </c>
      <c r="AZ252" s="33" t="s">
        <v>892</v>
      </c>
      <c r="BA252" s="28" t="s">
        <v>895</v>
      </c>
      <c r="BC252" s="32">
        <f>AW252+AX252</f>
        <v>0</v>
      </c>
      <c r="BD252" s="32">
        <f>H252/(100-BE252)*100</f>
        <v>0</v>
      </c>
      <c r="BE252" s="32">
        <v>0</v>
      </c>
      <c r="BF252" s="32">
        <f>250</f>
        <v>250</v>
      </c>
      <c r="BH252" s="15">
        <f>G252*AO252</f>
        <v>0</v>
      </c>
      <c r="BI252" s="15">
        <f>G252*AP252</f>
        <v>0</v>
      </c>
      <c r="BJ252" s="15">
        <f>G252*H252</f>
        <v>0</v>
      </c>
    </row>
    <row r="253" spans="1:62" x14ac:dyDescent="0.2">
      <c r="C253" s="58" t="s">
        <v>568</v>
      </c>
      <c r="D253" s="59"/>
      <c r="E253" s="59"/>
      <c r="G253" s="16">
        <v>5</v>
      </c>
    </row>
    <row r="254" spans="1:62" x14ac:dyDescent="0.2">
      <c r="A254" s="4" t="s">
        <v>88</v>
      </c>
      <c r="B254" s="4" t="s">
        <v>257</v>
      </c>
      <c r="C254" s="56" t="s">
        <v>569</v>
      </c>
      <c r="D254" s="57"/>
      <c r="E254" s="57"/>
      <c r="F254" s="4" t="s">
        <v>826</v>
      </c>
      <c r="G254" s="15">
        <v>3.5</v>
      </c>
      <c r="H254" s="15">
        <v>0</v>
      </c>
      <c r="I254" s="15">
        <f>G254*AO254</f>
        <v>0</v>
      </c>
      <c r="J254" s="15">
        <f>G254*AP254</f>
        <v>0</v>
      </c>
      <c r="K254" s="15">
        <f>G254*H254</f>
        <v>0</v>
      </c>
      <c r="L254" s="27" t="s">
        <v>846</v>
      </c>
      <c r="Z254" s="32">
        <f>IF(AQ254="5",BJ254,0)</f>
        <v>0</v>
      </c>
      <c r="AB254" s="32">
        <f>IF(AQ254="1",BH254,0)</f>
        <v>0</v>
      </c>
      <c r="AC254" s="32">
        <f>IF(AQ254="1",BI254,0)</f>
        <v>0</v>
      </c>
      <c r="AD254" s="32">
        <f>IF(AQ254="7",BH254,0)</f>
        <v>0</v>
      </c>
      <c r="AE254" s="32">
        <f>IF(AQ254="7",BI254,0)</f>
        <v>0</v>
      </c>
      <c r="AF254" s="32">
        <f>IF(AQ254="2",BH254,0)</f>
        <v>0</v>
      </c>
      <c r="AG254" s="32">
        <f>IF(AQ254="2",BI254,0)</f>
        <v>0</v>
      </c>
      <c r="AH254" s="32">
        <f>IF(AQ254="0",BJ254,0)</f>
        <v>0</v>
      </c>
      <c r="AI254" s="28"/>
      <c r="AJ254" s="15">
        <f>IF(AN254=0,K254,0)</f>
        <v>0</v>
      </c>
      <c r="AK254" s="15">
        <f>IF(AN254=15,K254,0)</f>
        <v>0</v>
      </c>
      <c r="AL254" s="15">
        <f>IF(AN254=21,K254,0)</f>
        <v>0</v>
      </c>
      <c r="AN254" s="32">
        <v>21</v>
      </c>
      <c r="AO254" s="32">
        <f>H254*0.641021431336898</f>
        <v>0</v>
      </c>
      <c r="AP254" s="32">
        <f>H254*(1-0.641021431336898)</f>
        <v>0</v>
      </c>
      <c r="AQ254" s="27" t="s">
        <v>13</v>
      </c>
      <c r="AV254" s="32">
        <f>AW254+AX254</f>
        <v>0</v>
      </c>
      <c r="AW254" s="32">
        <f>G254*AO254</f>
        <v>0</v>
      </c>
      <c r="AX254" s="32">
        <f>G254*AP254</f>
        <v>0</v>
      </c>
      <c r="AY254" s="33" t="s">
        <v>874</v>
      </c>
      <c r="AZ254" s="33" t="s">
        <v>892</v>
      </c>
      <c r="BA254" s="28" t="s">
        <v>895</v>
      </c>
      <c r="BC254" s="32">
        <f>AW254+AX254</f>
        <v>0</v>
      </c>
      <c r="BD254" s="32">
        <f>H254/(100-BE254)*100</f>
        <v>0</v>
      </c>
      <c r="BE254" s="32">
        <v>0</v>
      </c>
      <c r="BF254" s="32">
        <f>252</f>
        <v>252</v>
      </c>
      <c r="BH254" s="15">
        <f>G254*AO254</f>
        <v>0</v>
      </c>
      <c r="BI254" s="15">
        <f>G254*AP254</f>
        <v>0</v>
      </c>
      <c r="BJ254" s="15">
        <f>G254*H254</f>
        <v>0</v>
      </c>
    </row>
    <row r="255" spans="1:62" x14ac:dyDescent="0.2">
      <c r="C255" s="58" t="s">
        <v>570</v>
      </c>
      <c r="D255" s="59"/>
      <c r="E255" s="59"/>
      <c r="G255" s="16">
        <v>3.5</v>
      </c>
    </row>
    <row r="256" spans="1:62" x14ac:dyDescent="0.2">
      <c r="A256" s="4" t="s">
        <v>89</v>
      </c>
      <c r="B256" s="4" t="s">
        <v>258</v>
      </c>
      <c r="C256" s="56" t="s">
        <v>571</v>
      </c>
      <c r="D256" s="57"/>
      <c r="E256" s="57"/>
      <c r="F256" s="4" t="s">
        <v>827</v>
      </c>
      <c r="G256" s="15">
        <v>1</v>
      </c>
      <c r="H256" s="15">
        <v>0</v>
      </c>
      <c r="I256" s="15">
        <f>G256*AO256</f>
        <v>0</v>
      </c>
      <c r="J256" s="15">
        <f>G256*AP256</f>
        <v>0</v>
      </c>
      <c r="K256" s="15">
        <f>G256*H256</f>
        <v>0</v>
      </c>
      <c r="L256" s="27" t="s">
        <v>846</v>
      </c>
      <c r="Z256" s="32">
        <f>IF(AQ256="5",BJ256,0)</f>
        <v>0</v>
      </c>
      <c r="AB256" s="32">
        <f>IF(AQ256="1",BH256,0)</f>
        <v>0</v>
      </c>
      <c r="AC256" s="32">
        <f>IF(AQ256="1",BI256,0)</f>
        <v>0</v>
      </c>
      <c r="AD256" s="32">
        <f>IF(AQ256="7",BH256,0)</f>
        <v>0</v>
      </c>
      <c r="AE256" s="32">
        <f>IF(AQ256="7",BI256,0)</f>
        <v>0</v>
      </c>
      <c r="AF256" s="32">
        <f>IF(AQ256="2",BH256,0)</f>
        <v>0</v>
      </c>
      <c r="AG256" s="32">
        <f>IF(AQ256="2",BI256,0)</f>
        <v>0</v>
      </c>
      <c r="AH256" s="32">
        <f>IF(AQ256="0",BJ256,0)</f>
        <v>0</v>
      </c>
      <c r="AI256" s="28"/>
      <c r="AJ256" s="15">
        <f>IF(AN256=0,K256,0)</f>
        <v>0</v>
      </c>
      <c r="AK256" s="15">
        <f>IF(AN256=15,K256,0)</f>
        <v>0</v>
      </c>
      <c r="AL256" s="15">
        <f>IF(AN256=21,K256,0)</f>
        <v>0</v>
      </c>
      <c r="AN256" s="32">
        <v>21</v>
      </c>
      <c r="AO256" s="32">
        <f>H256*0.114273381294964</f>
        <v>0</v>
      </c>
      <c r="AP256" s="32">
        <f>H256*(1-0.114273381294964)</f>
        <v>0</v>
      </c>
      <c r="AQ256" s="27" t="s">
        <v>13</v>
      </c>
      <c r="AV256" s="32">
        <f>AW256+AX256</f>
        <v>0</v>
      </c>
      <c r="AW256" s="32">
        <f>G256*AO256</f>
        <v>0</v>
      </c>
      <c r="AX256" s="32">
        <f>G256*AP256</f>
        <v>0</v>
      </c>
      <c r="AY256" s="33" t="s">
        <v>874</v>
      </c>
      <c r="AZ256" s="33" t="s">
        <v>892</v>
      </c>
      <c r="BA256" s="28" t="s">
        <v>895</v>
      </c>
      <c r="BC256" s="32">
        <f>AW256+AX256</f>
        <v>0</v>
      </c>
      <c r="BD256" s="32">
        <f>H256/(100-BE256)*100</f>
        <v>0</v>
      </c>
      <c r="BE256" s="32">
        <v>0</v>
      </c>
      <c r="BF256" s="32">
        <f>254</f>
        <v>254</v>
      </c>
      <c r="BH256" s="15">
        <f>G256*AO256</f>
        <v>0</v>
      </c>
      <c r="BI256" s="15">
        <f>G256*AP256</f>
        <v>0</v>
      </c>
      <c r="BJ256" s="15">
        <f>G256*H256</f>
        <v>0</v>
      </c>
    </row>
    <row r="257" spans="1:62" x14ac:dyDescent="0.2">
      <c r="C257" s="58" t="s">
        <v>572</v>
      </c>
      <c r="D257" s="59"/>
      <c r="E257" s="59"/>
      <c r="G257" s="16">
        <v>1</v>
      </c>
    </row>
    <row r="258" spans="1:62" x14ac:dyDescent="0.2">
      <c r="A258" s="4" t="s">
        <v>90</v>
      </c>
      <c r="B258" s="4" t="s">
        <v>259</v>
      </c>
      <c r="C258" s="56" t="s">
        <v>573</v>
      </c>
      <c r="D258" s="57"/>
      <c r="E258" s="57"/>
      <c r="F258" s="4" t="s">
        <v>826</v>
      </c>
      <c r="G258" s="15">
        <v>3</v>
      </c>
      <c r="H258" s="15">
        <v>0</v>
      </c>
      <c r="I258" s="15">
        <f>G258*AO258</f>
        <v>0</v>
      </c>
      <c r="J258" s="15">
        <f>G258*AP258</f>
        <v>0</v>
      </c>
      <c r="K258" s="15">
        <f>G258*H258</f>
        <v>0</v>
      </c>
      <c r="L258" s="27" t="s">
        <v>846</v>
      </c>
      <c r="Z258" s="32">
        <f>IF(AQ258="5",BJ258,0)</f>
        <v>0</v>
      </c>
      <c r="AB258" s="32">
        <f>IF(AQ258="1",BH258,0)</f>
        <v>0</v>
      </c>
      <c r="AC258" s="32">
        <f>IF(AQ258="1",BI258,0)</f>
        <v>0</v>
      </c>
      <c r="AD258" s="32">
        <f>IF(AQ258="7",BH258,0)</f>
        <v>0</v>
      </c>
      <c r="AE258" s="32">
        <f>IF(AQ258="7",BI258,0)</f>
        <v>0</v>
      </c>
      <c r="AF258" s="32">
        <f>IF(AQ258="2",BH258,0)</f>
        <v>0</v>
      </c>
      <c r="AG258" s="32">
        <f>IF(AQ258="2",BI258,0)</f>
        <v>0</v>
      </c>
      <c r="AH258" s="32">
        <f>IF(AQ258="0",BJ258,0)</f>
        <v>0</v>
      </c>
      <c r="AI258" s="28"/>
      <c r="AJ258" s="15">
        <f>IF(AN258=0,K258,0)</f>
        <v>0</v>
      </c>
      <c r="AK258" s="15">
        <f>IF(AN258=15,K258,0)</f>
        <v>0</v>
      </c>
      <c r="AL258" s="15">
        <f>IF(AN258=21,K258,0)</f>
        <v>0</v>
      </c>
      <c r="AN258" s="32">
        <v>21</v>
      </c>
      <c r="AO258" s="32">
        <f>H258*0.0557713999248026</f>
        <v>0</v>
      </c>
      <c r="AP258" s="32">
        <f>H258*(1-0.0557713999248026)</f>
        <v>0</v>
      </c>
      <c r="AQ258" s="27" t="s">
        <v>13</v>
      </c>
      <c r="AV258" s="32">
        <f>AW258+AX258</f>
        <v>0</v>
      </c>
      <c r="AW258" s="32">
        <f>G258*AO258</f>
        <v>0</v>
      </c>
      <c r="AX258" s="32">
        <f>G258*AP258</f>
        <v>0</v>
      </c>
      <c r="AY258" s="33" t="s">
        <v>874</v>
      </c>
      <c r="AZ258" s="33" t="s">
        <v>892</v>
      </c>
      <c r="BA258" s="28" t="s">
        <v>895</v>
      </c>
      <c r="BC258" s="32">
        <f>AW258+AX258</f>
        <v>0</v>
      </c>
      <c r="BD258" s="32">
        <f>H258/(100-BE258)*100</f>
        <v>0</v>
      </c>
      <c r="BE258" s="32">
        <v>0</v>
      </c>
      <c r="BF258" s="32">
        <f>256</f>
        <v>256</v>
      </c>
      <c r="BH258" s="15">
        <f>G258*AO258</f>
        <v>0</v>
      </c>
      <c r="BI258" s="15">
        <f>G258*AP258</f>
        <v>0</v>
      </c>
      <c r="BJ258" s="15">
        <f>G258*H258</f>
        <v>0</v>
      </c>
    </row>
    <row r="259" spans="1:62" x14ac:dyDescent="0.2">
      <c r="C259" s="58" t="s">
        <v>574</v>
      </c>
      <c r="D259" s="59"/>
      <c r="E259" s="59"/>
      <c r="G259" s="16">
        <v>3</v>
      </c>
    </row>
    <row r="260" spans="1:62" x14ac:dyDescent="0.2">
      <c r="A260" s="6" t="s">
        <v>91</v>
      </c>
      <c r="B260" s="6" t="s">
        <v>260</v>
      </c>
      <c r="C260" s="68" t="s">
        <v>575</v>
      </c>
      <c r="D260" s="69"/>
      <c r="E260" s="69"/>
      <c r="F260" s="6" t="s">
        <v>827</v>
      </c>
      <c r="G260" s="17">
        <v>3</v>
      </c>
      <c r="H260" s="17">
        <v>0</v>
      </c>
      <c r="I260" s="17">
        <f>G260*AO260</f>
        <v>0</v>
      </c>
      <c r="J260" s="17">
        <f>G260*AP260</f>
        <v>0</v>
      </c>
      <c r="K260" s="17">
        <f>G260*H260</f>
        <v>0</v>
      </c>
      <c r="L260" s="29" t="s">
        <v>846</v>
      </c>
      <c r="Z260" s="32">
        <f>IF(AQ260="5",BJ260,0)</f>
        <v>0</v>
      </c>
      <c r="AB260" s="32">
        <f>IF(AQ260="1",BH260,0)</f>
        <v>0</v>
      </c>
      <c r="AC260" s="32">
        <f>IF(AQ260="1",BI260,0)</f>
        <v>0</v>
      </c>
      <c r="AD260" s="32">
        <f>IF(AQ260="7",BH260,0)</f>
        <v>0</v>
      </c>
      <c r="AE260" s="32">
        <f>IF(AQ260="7",BI260,0)</f>
        <v>0</v>
      </c>
      <c r="AF260" s="32">
        <f>IF(AQ260="2",BH260,0)</f>
        <v>0</v>
      </c>
      <c r="AG260" s="32">
        <f>IF(AQ260="2",BI260,0)</f>
        <v>0</v>
      </c>
      <c r="AH260" s="32">
        <f>IF(AQ260="0",BJ260,0)</f>
        <v>0</v>
      </c>
      <c r="AI260" s="28"/>
      <c r="AJ260" s="17">
        <f>IF(AN260=0,K260,0)</f>
        <v>0</v>
      </c>
      <c r="AK260" s="17">
        <f>IF(AN260=15,K260,0)</f>
        <v>0</v>
      </c>
      <c r="AL260" s="17">
        <f>IF(AN260=21,K260,0)</f>
        <v>0</v>
      </c>
      <c r="AN260" s="32">
        <v>21</v>
      </c>
      <c r="AO260" s="32">
        <f>H260*1</f>
        <v>0</v>
      </c>
      <c r="AP260" s="32">
        <f>H260*(1-1)</f>
        <v>0</v>
      </c>
      <c r="AQ260" s="29" t="s">
        <v>13</v>
      </c>
      <c r="AV260" s="32">
        <f>AW260+AX260</f>
        <v>0</v>
      </c>
      <c r="AW260" s="32">
        <f>G260*AO260</f>
        <v>0</v>
      </c>
      <c r="AX260" s="32">
        <f>G260*AP260</f>
        <v>0</v>
      </c>
      <c r="AY260" s="33" t="s">
        <v>874</v>
      </c>
      <c r="AZ260" s="33" t="s">
        <v>892</v>
      </c>
      <c r="BA260" s="28" t="s">
        <v>895</v>
      </c>
      <c r="BC260" s="32">
        <f>AW260+AX260</f>
        <v>0</v>
      </c>
      <c r="BD260" s="32">
        <f>H260/(100-BE260)*100</f>
        <v>0</v>
      </c>
      <c r="BE260" s="32">
        <v>0</v>
      </c>
      <c r="BF260" s="32">
        <f>258</f>
        <v>258</v>
      </c>
      <c r="BH260" s="17">
        <f>G260*AO260</f>
        <v>0</v>
      </c>
      <c r="BI260" s="17">
        <f>G260*AP260</f>
        <v>0</v>
      </c>
      <c r="BJ260" s="17">
        <f>G260*H260</f>
        <v>0</v>
      </c>
    </row>
    <row r="261" spans="1:62" x14ac:dyDescent="0.2">
      <c r="C261" s="58" t="s">
        <v>574</v>
      </c>
      <c r="D261" s="59"/>
      <c r="E261" s="59"/>
      <c r="G261" s="16">
        <v>3</v>
      </c>
    </row>
    <row r="262" spans="1:62" x14ac:dyDescent="0.2">
      <c r="A262" s="4" t="s">
        <v>92</v>
      </c>
      <c r="B262" s="4" t="s">
        <v>261</v>
      </c>
      <c r="C262" s="56" t="s">
        <v>576</v>
      </c>
      <c r="D262" s="57"/>
      <c r="E262" s="57"/>
      <c r="F262" s="4" t="s">
        <v>826</v>
      </c>
      <c r="G262" s="15">
        <v>4</v>
      </c>
      <c r="H262" s="15">
        <v>0</v>
      </c>
      <c r="I262" s="15">
        <f>G262*AO262</f>
        <v>0</v>
      </c>
      <c r="J262" s="15">
        <f>G262*AP262</f>
        <v>0</v>
      </c>
      <c r="K262" s="15">
        <f>G262*H262</f>
        <v>0</v>
      </c>
      <c r="L262" s="27" t="s">
        <v>846</v>
      </c>
      <c r="Z262" s="32">
        <f>IF(AQ262="5",BJ262,0)</f>
        <v>0</v>
      </c>
      <c r="AB262" s="32">
        <f>IF(AQ262="1",BH262,0)</f>
        <v>0</v>
      </c>
      <c r="AC262" s="32">
        <f>IF(AQ262="1",BI262,0)</f>
        <v>0</v>
      </c>
      <c r="AD262" s="32">
        <f>IF(AQ262="7",BH262,0)</f>
        <v>0</v>
      </c>
      <c r="AE262" s="32">
        <f>IF(AQ262="7",BI262,0)</f>
        <v>0</v>
      </c>
      <c r="AF262" s="32">
        <f>IF(AQ262="2",BH262,0)</f>
        <v>0</v>
      </c>
      <c r="AG262" s="32">
        <f>IF(AQ262="2",BI262,0)</f>
        <v>0</v>
      </c>
      <c r="AH262" s="32">
        <f>IF(AQ262="0",BJ262,0)</f>
        <v>0</v>
      </c>
      <c r="AI262" s="28"/>
      <c r="AJ262" s="15">
        <f>IF(AN262=0,K262,0)</f>
        <v>0</v>
      </c>
      <c r="AK262" s="15">
        <f>IF(AN262=15,K262,0)</f>
        <v>0</v>
      </c>
      <c r="AL262" s="15">
        <f>IF(AN262=21,K262,0)</f>
        <v>0</v>
      </c>
      <c r="AN262" s="32">
        <v>21</v>
      </c>
      <c r="AO262" s="32">
        <f>H262*0.507252252252252</f>
        <v>0</v>
      </c>
      <c r="AP262" s="32">
        <f>H262*(1-0.507252252252252)</f>
        <v>0</v>
      </c>
      <c r="AQ262" s="27" t="s">
        <v>13</v>
      </c>
      <c r="AV262" s="32">
        <f>AW262+AX262</f>
        <v>0</v>
      </c>
      <c r="AW262" s="32">
        <f>G262*AO262</f>
        <v>0</v>
      </c>
      <c r="AX262" s="32">
        <f>G262*AP262</f>
        <v>0</v>
      </c>
      <c r="AY262" s="33" t="s">
        <v>874</v>
      </c>
      <c r="AZ262" s="33" t="s">
        <v>892</v>
      </c>
      <c r="BA262" s="28" t="s">
        <v>895</v>
      </c>
      <c r="BC262" s="32">
        <f>AW262+AX262</f>
        <v>0</v>
      </c>
      <c r="BD262" s="32">
        <f>H262/(100-BE262)*100</f>
        <v>0</v>
      </c>
      <c r="BE262" s="32">
        <v>0</v>
      </c>
      <c r="BF262" s="32">
        <f>260</f>
        <v>260</v>
      </c>
      <c r="BH262" s="15">
        <f>G262*AO262</f>
        <v>0</v>
      </c>
      <c r="BI262" s="15">
        <f>G262*AP262</f>
        <v>0</v>
      </c>
      <c r="BJ262" s="15">
        <f>G262*H262</f>
        <v>0</v>
      </c>
    </row>
    <row r="263" spans="1:62" x14ac:dyDescent="0.2">
      <c r="C263" s="58" t="s">
        <v>577</v>
      </c>
      <c r="D263" s="59"/>
      <c r="E263" s="59"/>
      <c r="G263" s="16">
        <v>4</v>
      </c>
    </row>
    <row r="264" spans="1:62" x14ac:dyDescent="0.2">
      <c r="A264" s="4" t="s">
        <v>93</v>
      </c>
      <c r="B264" s="4" t="s">
        <v>262</v>
      </c>
      <c r="C264" s="56" t="s">
        <v>578</v>
      </c>
      <c r="D264" s="57"/>
      <c r="E264" s="57"/>
      <c r="F264" s="4" t="s">
        <v>827</v>
      </c>
      <c r="G264" s="15">
        <v>5</v>
      </c>
      <c r="H264" s="15">
        <v>0</v>
      </c>
      <c r="I264" s="15">
        <f>G264*AO264</f>
        <v>0</v>
      </c>
      <c r="J264" s="15">
        <f>G264*AP264</f>
        <v>0</v>
      </c>
      <c r="K264" s="15">
        <f>G264*H264</f>
        <v>0</v>
      </c>
      <c r="L264" s="27" t="s">
        <v>846</v>
      </c>
      <c r="Z264" s="32">
        <f>IF(AQ264="5",BJ264,0)</f>
        <v>0</v>
      </c>
      <c r="AB264" s="32">
        <f>IF(AQ264="1",BH264,0)</f>
        <v>0</v>
      </c>
      <c r="AC264" s="32">
        <f>IF(AQ264="1",BI264,0)</f>
        <v>0</v>
      </c>
      <c r="AD264" s="32">
        <f>IF(AQ264="7",BH264,0)</f>
        <v>0</v>
      </c>
      <c r="AE264" s="32">
        <f>IF(AQ264="7",BI264,0)</f>
        <v>0</v>
      </c>
      <c r="AF264" s="32">
        <f>IF(AQ264="2",BH264,0)</f>
        <v>0</v>
      </c>
      <c r="AG264" s="32">
        <f>IF(AQ264="2",BI264,0)</f>
        <v>0</v>
      </c>
      <c r="AH264" s="32">
        <f>IF(AQ264="0",BJ264,0)</f>
        <v>0</v>
      </c>
      <c r="AI264" s="28"/>
      <c r="AJ264" s="15">
        <f>IF(AN264=0,K264,0)</f>
        <v>0</v>
      </c>
      <c r="AK264" s="15">
        <f>IF(AN264=15,K264,0)</f>
        <v>0</v>
      </c>
      <c r="AL264" s="15">
        <f>IF(AN264=21,K264,0)</f>
        <v>0</v>
      </c>
      <c r="AN264" s="32">
        <v>21</v>
      </c>
      <c r="AO264" s="32">
        <f>H264*0.0611832611832612</f>
        <v>0</v>
      </c>
      <c r="AP264" s="32">
        <f>H264*(1-0.0611832611832612)</f>
        <v>0</v>
      </c>
      <c r="AQ264" s="27" t="s">
        <v>13</v>
      </c>
      <c r="AV264" s="32">
        <f>AW264+AX264</f>
        <v>0</v>
      </c>
      <c r="AW264" s="32">
        <f>G264*AO264</f>
        <v>0</v>
      </c>
      <c r="AX264" s="32">
        <f>G264*AP264</f>
        <v>0</v>
      </c>
      <c r="AY264" s="33" t="s">
        <v>874</v>
      </c>
      <c r="AZ264" s="33" t="s">
        <v>892</v>
      </c>
      <c r="BA264" s="28" t="s">
        <v>895</v>
      </c>
      <c r="BC264" s="32">
        <f>AW264+AX264</f>
        <v>0</v>
      </c>
      <c r="BD264" s="32">
        <f>H264/(100-BE264)*100</f>
        <v>0</v>
      </c>
      <c r="BE264" s="32">
        <v>0</v>
      </c>
      <c r="BF264" s="32">
        <f>262</f>
        <v>262</v>
      </c>
      <c r="BH264" s="15">
        <f>G264*AO264</f>
        <v>0</v>
      </c>
      <c r="BI264" s="15">
        <f>G264*AP264</f>
        <v>0</v>
      </c>
      <c r="BJ264" s="15">
        <f>G264*H264</f>
        <v>0</v>
      </c>
    </row>
    <row r="265" spans="1:62" x14ac:dyDescent="0.2">
      <c r="C265" s="58" t="s">
        <v>579</v>
      </c>
      <c r="D265" s="59"/>
      <c r="E265" s="59"/>
      <c r="G265" s="16">
        <v>5</v>
      </c>
    </row>
    <row r="266" spans="1:62" x14ac:dyDescent="0.2">
      <c r="A266" s="6" t="s">
        <v>94</v>
      </c>
      <c r="B266" s="6" t="s">
        <v>263</v>
      </c>
      <c r="C266" s="68" t="s">
        <v>580</v>
      </c>
      <c r="D266" s="69"/>
      <c r="E266" s="69"/>
      <c r="F266" s="6" t="s">
        <v>827</v>
      </c>
      <c r="G266" s="17">
        <v>5</v>
      </c>
      <c r="H266" s="17">
        <v>0</v>
      </c>
      <c r="I266" s="17">
        <f>G266*AO266</f>
        <v>0</v>
      </c>
      <c r="J266" s="17">
        <f>G266*AP266</f>
        <v>0</v>
      </c>
      <c r="K266" s="17">
        <f>G266*H266</f>
        <v>0</v>
      </c>
      <c r="L266" s="29" t="s">
        <v>846</v>
      </c>
      <c r="Z266" s="32">
        <f>IF(AQ266="5",BJ266,0)</f>
        <v>0</v>
      </c>
      <c r="AB266" s="32">
        <f>IF(AQ266="1",BH266,0)</f>
        <v>0</v>
      </c>
      <c r="AC266" s="32">
        <f>IF(AQ266="1",BI266,0)</f>
        <v>0</v>
      </c>
      <c r="AD266" s="32">
        <f>IF(AQ266="7",BH266,0)</f>
        <v>0</v>
      </c>
      <c r="AE266" s="32">
        <f>IF(AQ266="7",BI266,0)</f>
        <v>0</v>
      </c>
      <c r="AF266" s="32">
        <f>IF(AQ266="2",BH266,0)</f>
        <v>0</v>
      </c>
      <c r="AG266" s="32">
        <f>IF(AQ266="2",BI266,0)</f>
        <v>0</v>
      </c>
      <c r="AH266" s="32">
        <f>IF(AQ266="0",BJ266,0)</f>
        <v>0</v>
      </c>
      <c r="AI266" s="28"/>
      <c r="AJ266" s="17">
        <f>IF(AN266=0,K266,0)</f>
        <v>0</v>
      </c>
      <c r="AK266" s="17">
        <f>IF(AN266=15,K266,0)</f>
        <v>0</v>
      </c>
      <c r="AL266" s="17">
        <f>IF(AN266=21,K266,0)</f>
        <v>0</v>
      </c>
      <c r="AN266" s="32">
        <v>21</v>
      </c>
      <c r="AO266" s="32">
        <f>H266*1</f>
        <v>0</v>
      </c>
      <c r="AP266" s="32">
        <f>H266*(1-1)</f>
        <v>0</v>
      </c>
      <c r="AQ266" s="29" t="s">
        <v>13</v>
      </c>
      <c r="AV266" s="32">
        <f>AW266+AX266</f>
        <v>0</v>
      </c>
      <c r="AW266" s="32">
        <f>G266*AO266</f>
        <v>0</v>
      </c>
      <c r="AX266" s="32">
        <f>G266*AP266</f>
        <v>0</v>
      </c>
      <c r="AY266" s="33" t="s">
        <v>874</v>
      </c>
      <c r="AZ266" s="33" t="s">
        <v>892</v>
      </c>
      <c r="BA266" s="28" t="s">
        <v>895</v>
      </c>
      <c r="BC266" s="32">
        <f>AW266+AX266</f>
        <v>0</v>
      </c>
      <c r="BD266" s="32">
        <f>H266/(100-BE266)*100</f>
        <v>0</v>
      </c>
      <c r="BE266" s="32">
        <v>0</v>
      </c>
      <c r="BF266" s="32">
        <f>264</f>
        <v>264</v>
      </c>
      <c r="BH266" s="17">
        <f>G266*AO266</f>
        <v>0</v>
      </c>
      <c r="BI266" s="17">
        <f>G266*AP266</f>
        <v>0</v>
      </c>
      <c r="BJ266" s="17">
        <f>G266*H266</f>
        <v>0</v>
      </c>
    </row>
    <row r="267" spans="1:62" x14ac:dyDescent="0.2">
      <c r="C267" s="58" t="s">
        <v>579</v>
      </c>
      <c r="D267" s="59"/>
      <c r="E267" s="59"/>
      <c r="G267" s="16">
        <v>5</v>
      </c>
    </row>
    <row r="268" spans="1:62" x14ac:dyDescent="0.2">
      <c r="A268" s="4" t="s">
        <v>95</v>
      </c>
      <c r="B268" s="4" t="s">
        <v>264</v>
      </c>
      <c r="C268" s="56" t="s">
        <v>581</v>
      </c>
      <c r="D268" s="57"/>
      <c r="E268" s="57"/>
      <c r="F268" s="4" t="s">
        <v>823</v>
      </c>
      <c r="G268" s="15">
        <v>0.88500000000000001</v>
      </c>
      <c r="H268" s="15">
        <v>0</v>
      </c>
      <c r="I268" s="15">
        <f>G268*AO268</f>
        <v>0</v>
      </c>
      <c r="J268" s="15">
        <f>G268*AP268</f>
        <v>0</v>
      </c>
      <c r="K268" s="15">
        <f>G268*H268</f>
        <v>0</v>
      </c>
      <c r="L268" s="27" t="s">
        <v>846</v>
      </c>
      <c r="Z268" s="32">
        <f>IF(AQ268="5",BJ268,0)</f>
        <v>0</v>
      </c>
      <c r="AB268" s="32">
        <f>IF(AQ268="1",BH268,0)</f>
        <v>0</v>
      </c>
      <c r="AC268" s="32">
        <f>IF(AQ268="1",BI268,0)</f>
        <v>0</v>
      </c>
      <c r="AD268" s="32">
        <f>IF(AQ268="7",BH268,0)</f>
        <v>0</v>
      </c>
      <c r="AE268" s="32">
        <f>IF(AQ268="7",BI268,0)</f>
        <v>0</v>
      </c>
      <c r="AF268" s="32">
        <f>IF(AQ268="2",BH268,0)</f>
        <v>0</v>
      </c>
      <c r="AG268" s="32">
        <f>IF(AQ268="2",BI268,0)</f>
        <v>0</v>
      </c>
      <c r="AH268" s="32">
        <f>IF(AQ268="0",BJ268,0)</f>
        <v>0</v>
      </c>
      <c r="AI268" s="28"/>
      <c r="AJ268" s="15">
        <f>IF(AN268=0,K268,0)</f>
        <v>0</v>
      </c>
      <c r="AK268" s="15">
        <f>IF(AN268=15,K268,0)</f>
        <v>0</v>
      </c>
      <c r="AL268" s="15">
        <f>IF(AN268=21,K268,0)</f>
        <v>0</v>
      </c>
      <c r="AN268" s="32">
        <v>21</v>
      </c>
      <c r="AO268" s="32">
        <f>H268*0.497649282185604</f>
        <v>0</v>
      </c>
      <c r="AP268" s="32">
        <f>H268*(1-0.497649282185604)</f>
        <v>0</v>
      </c>
      <c r="AQ268" s="27" t="s">
        <v>13</v>
      </c>
      <c r="AV268" s="32">
        <f>AW268+AX268</f>
        <v>0</v>
      </c>
      <c r="AW268" s="32">
        <f>G268*AO268</f>
        <v>0</v>
      </c>
      <c r="AX268" s="32">
        <f>G268*AP268</f>
        <v>0</v>
      </c>
      <c r="AY268" s="33" t="s">
        <v>874</v>
      </c>
      <c r="AZ268" s="33" t="s">
        <v>892</v>
      </c>
      <c r="BA268" s="28" t="s">
        <v>895</v>
      </c>
      <c r="BC268" s="32">
        <f>AW268+AX268</f>
        <v>0</v>
      </c>
      <c r="BD268" s="32">
        <f>H268/(100-BE268)*100</f>
        <v>0</v>
      </c>
      <c r="BE268" s="32">
        <v>0</v>
      </c>
      <c r="BF268" s="32">
        <f>266</f>
        <v>266</v>
      </c>
      <c r="BH268" s="15">
        <f>G268*AO268</f>
        <v>0</v>
      </c>
      <c r="BI268" s="15">
        <f>G268*AP268</f>
        <v>0</v>
      </c>
      <c r="BJ268" s="15">
        <f>G268*H268</f>
        <v>0</v>
      </c>
    </row>
    <row r="269" spans="1:62" x14ac:dyDescent="0.2">
      <c r="C269" s="58" t="s">
        <v>582</v>
      </c>
      <c r="D269" s="59"/>
      <c r="E269" s="59"/>
      <c r="G269" s="16">
        <v>0.58499999999999996</v>
      </c>
    </row>
    <row r="270" spans="1:62" x14ac:dyDescent="0.2">
      <c r="C270" s="58" t="s">
        <v>583</v>
      </c>
      <c r="D270" s="59"/>
      <c r="E270" s="59"/>
      <c r="G270" s="16">
        <v>0.3</v>
      </c>
    </row>
    <row r="271" spans="1:62" x14ac:dyDescent="0.2">
      <c r="A271" s="4" t="s">
        <v>96</v>
      </c>
      <c r="B271" s="4" t="s">
        <v>265</v>
      </c>
      <c r="C271" s="56" t="s">
        <v>584</v>
      </c>
      <c r="D271" s="57"/>
      <c r="E271" s="57"/>
      <c r="F271" s="4" t="s">
        <v>826</v>
      </c>
      <c r="G271" s="15">
        <v>45</v>
      </c>
      <c r="H271" s="15">
        <v>0</v>
      </c>
      <c r="I271" s="15">
        <f>G271*AO271</f>
        <v>0</v>
      </c>
      <c r="J271" s="15">
        <f>G271*AP271</f>
        <v>0</v>
      </c>
      <c r="K271" s="15">
        <f>G271*H271</f>
        <v>0</v>
      </c>
      <c r="L271" s="27"/>
      <c r="Z271" s="32">
        <f>IF(AQ271="5",BJ271,0)</f>
        <v>0</v>
      </c>
      <c r="AB271" s="32">
        <f>IF(AQ271="1",BH271,0)</f>
        <v>0</v>
      </c>
      <c r="AC271" s="32">
        <f>IF(AQ271="1",BI271,0)</f>
        <v>0</v>
      </c>
      <c r="AD271" s="32">
        <f>IF(AQ271="7",BH271,0)</f>
        <v>0</v>
      </c>
      <c r="AE271" s="32">
        <f>IF(AQ271="7",BI271,0)</f>
        <v>0</v>
      </c>
      <c r="AF271" s="32">
        <f>IF(AQ271="2",BH271,0)</f>
        <v>0</v>
      </c>
      <c r="AG271" s="32">
        <f>IF(AQ271="2",BI271,0)</f>
        <v>0</v>
      </c>
      <c r="AH271" s="32">
        <f>IF(AQ271="0",BJ271,0)</f>
        <v>0</v>
      </c>
      <c r="AI271" s="28"/>
      <c r="AJ271" s="15">
        <f>IF(AN271=0,K271,0)</f>
        <v>0</v>
      </c>
      <c r="AK271" s="15">
        <f>IF(AN271=15,K271,0)</f>
        <v>0</v>
      </c>
      <c r="AL271" s="15">
        <f>IF(AN271=21,K271,0)</f>
        <v>0</v>
      </c>
      <c r="AN271" s="32">
        <v>21</v>
      </c>
      <c r="AO271" s="32">
        <f>H271*0.4</f>
        <v>0</v>
      </c>
      <c r="AP271" s="32">
        <f>H271*(1-0.4)</f>
        <v>0</v>
      </c>
      <c r="AQ271" s="27" t="s">
        <v>13</v>
      </c>
      <c r="AV271" s="32">
        <f>AW271+AX271</f>
        <v>0</v>
      </c>
      <c r="AW271" s="32">
        <f>G271*AO271</f>
        <v>0</v>
      </c>
      <c r="AX271" s="32">
        <f>G271*AP271</f>
        <v>0</v>
      </c>
      <c r="AY271" s="33" t="s">
        <v>874</v>
      </c>
      <c r="AZ271" s="33" t="s">
        <v>892</v>
      </c>
      <c r="BA271" s="28" t="s">
        <v>895</v>
      </c>
      <c r="BC271" s="32">
        <f>AW271+AX271</f>
        <v>0</v>
      </c>
      <c r="BD271" s="32">
        <f>H271/(100-BE271)*100</f>
        <v>0</v>
      </c>
      <c r="BE271" s="32">
        <v>0</v>
      </c>
      <c r="BF271" s="32">
        <f>269</f>
        <v>269</v>
      </c>
      <c r="BH271" s="15">
        <f>G271*AO271</f>
        <v>0</v>
      </c>
      <c r="BI271" s="15">
        <f>G271*AP271</f>
        <v>0</v>
      </c>
      <c r="BJ271" s="15">
        <f>G271*H271</f>
        <v>0</v>
      </c>
    </row>
    <row r="272" spans="1:62" x14ac:dyDescent="0.2">
      <c r="C272" s="58" t="s">
        <v>585</v>
      </c>
      <c r="D272" s="59"/>
      <c r="E272" s="59"/>
      <c r="G272" s="16">
        <v>45</v>
      </c>
    </row>
    <row r="273" spans="1:62" x14ac:dyDescent="0.2">
      <c r="A273" s="4" t="s">
        <v>97</v>
      </c>
      <c r="B273" s="4" t="s">
        <v>266</v>
      </c>
      <c r="C273" s="56" t="s">
        <v>586</v>
      </c>
      <c r="D273" s="57"/>
      <c r="E273" s="57"/>
      <c r="F273" s="4" t="s">
        <v>828</v>
      </c>
      <c r="G273" s="15">
        <v>0.95845000000000002</v>
      </c>
      <c r="H273" s="15">
        <v>0</v>
      </c>
      <c r="I273" s="15">
        <f>G273*AO273</f>
        <v>0</v>
      </c>
      <c r="J273" s="15">
        <f>G273*AP273</f>
        <v>0</v>
      </c>
      <c r="K273" s="15">
        <f>G273*H273</f>
        <v>0</v>
      </c>
      <c r="L273" s="27" t="s">
        <v>846</v>
      </c>
      <c r="Z273" s="32">
        <f>IF(AQ273="5",BJ273,0)</f>
        <v>0</v>
      </c>
      <c r="AB273" s="32">
        <f>IF(AQ273="1",BH273,0)</f>
        <v>0</v>
      </c>
      <c r="AC273" s="32">
        <f>IF(AQ273="1",BI273,0)</f>
        <v>0</v>
      </c>
      <c r="AD273" s="32">
        <f>IF(AQ273="7",BH273,0)</f>
        <v>0</v>
      </c>
      <c r="AE273" s="32">
        <f>IF(AQ273="7",BI273,0)</f>
        <v>0</v>
      </c>
      <c r="AF273" s="32">
        <f>IF(AQ273="2",BH273,0)</f>
        <v>0</v>
      </c>
      <c r="AG273" s="32">
        <f>IF(AQ273="2",BI273,0)</f>
        <v>0</v>
      </c>
      <c r="AH273" s="32">
        <f>IF(AQ273="0",BJ273,0)</f>
        <v>0</v>
      </c>
      <c r="AI273" s="28"/>
      <c r="AJ273" s="15">
        <f>IF(AN273=0,K273,0)</f>
        <v>0</v>
      </c>
      <c r="AK273" s="15">
        <f>IF(AN273=15,K273,0)</f>
        <v>0</v>
      </c>
      <c r="AL273" s="15">
        <f>IF(AN273=21,K273,0)</f>
        <v>0</v>
      </c>
      <c r="AN273" s="32">
        <v>21</v>
      </c>
      <c r="AO273" s="32">
        <f>H273*0</f>
        <v>0</v>
      </c>
      <c r="AP273" s="32">
        <f>H273*(1-0)</f>
        <v>0</v>
      </c>
      <c r="AQ273" s="27" t="s">
        <v>11</v>
      </c>
      <c r="AV273" s="32">
        <f>AW273+AX273</f>
        <v>0</v>
      </c>
      <c r="AW273" s="32">
        <f>G273*AO273</f>
        <v>0</v>
      </c>
      <c r="AX273" s="32">
        <f>G273*AP273</f>
        <v>0</v>
      </c>
      <c r="AY273" s="33" t="s">
        <v>874</v>
      </c>
      <c r="AZ273" s="33" t="s">
        <v>892</v>
      </c>
      <c r="BA273" s="28" t="s">
        <v>895</v>
      </c>
      <c r="BC273" s="32">
        <f>AW273+AX273</f>
        <v>0</v>
      </c>
      <c r="BD273" s="32">
        <f>H273/(100-BE273)*100</f>
        <v>0</v>
      </c>
      <c r="BE273" s="32">
        <v>0</v>
      </c>
      <c r="BF273" s="32">
        <f>271</f>
        <v>271</v>
      </c>
      <c r="BH273" s="15">
        <f>G273*AO273</f>
        <v>0</v>
      </c>
      <c r="BI273" s="15">
        <f>G273*AP273</f>
        <v>0</v>
      </c>
      <c r="BJ273" s="15">
        <f>G273*H273</f>
        <v>0</v>
      </c>
    </row>
    <row r="274" spans="1:62" x14ac:dyDescent="0.2">
      <c r="C274" s="58" t="s">
        <v>587</v>
      </c>
      <c r="D274" s="59"/>
      <c r="E274" s="59"/>
      <c r="G274" s="16">
        <v>0.95845000000000002</v>
      </c>
    </row>
    <row r="275" spans="1:62" x14ac:dyDescent="0.2">
      <c r="A275" s="5"/>
      <c r="B275" s="13" t="s">
        <v>267</v>
      </c>
      <c r="C275" s="66" t="s">
        <v>588</v>
      </c>
      <c r="D275" s="67"/>
      <c r="E275" s="67"/>
      <c r="F275" s="5" t="s">
        <v>6</v>
      </c>
      <c r="G275" s="5" t="s">
        <v>6</v>
      </c>
      <c r="H275" s="5" t="s">
        <v>6</v>
      </c>
      <c r="I275" s="35">
        <f>SUM(I276:I276)</f>
        <v>0</v>
      </c>
      <c r="J275" s="35">
        <f>SUM(J276:J276)</f>
        <v>0</v>
      </c>
      <c r="K275" s="35">
        <f>SUM(K276:K276)</f>
        <v>0</v>
      </c>
      <c r="L275" s="28"/>
      <c r="AI275" s="28"/>
      <c r="AS275" s="35">
        <f>SUM(AJ276:AJ276)</f>
        <v>0</v>
      </c>
      <c r="AT275" s="35">
        <f>SUM(AK276:AK276)</f>
        <v>0</v>
      </c>
      <c r="AU275" s="35">
        <f>SUM(AL276:AL276)</f>
        <v>0</v>
      </c>
    </row>
    <row r="276" spans="1:62" x14ac:dyDescent="0.2">
      <c r="A276" s="4" t="s">
        <v>98</v>
      </c>
      <c r="B276" s="4" t="s">
        <v>268</v>
      </c>
      <c r="C276" s="56" t="s">
        <v>589</v>
      </c>
      <c r="D276" s="57"/>
      <c r="E276" s="57"/>
      <c r="F276" s="4" t="s">
        <v>823</v>
      </c>
      <c r="G276" s="15">
        <v>892</v>
      </c>
      <c r="H276" s="15">
        <v>0</v>
      </c>
      <c r="I276" s="15">
        <f>G276*AO276</f>
        <v>0</v>
      </c>
      <c r="J276" s="15">
        <f>G276*AP276</f>
        <v>0</v>
      </c>
      <c r="K276" s="15">
        <f>G276*H276</f>
        <v>0</v>
      </c>
      <c r="L276" s="27" t="s">
        <v>846</v>
      </c>
      <c r="Z276" s="32">
        <f>IF(AQ276="5",BJ276,0)</f>
        <v>0</v>
      </c>
      <c r="AB276" s="32">
        <f>IF(AQ276="1",BH276,0)</f>
        <v>0</v>
      </c>
      <c r="AC276" s="32">
        <f>IF(AQ276="1",BI276,0)</f>
        <v>0</v>
      </c>
      <c r="AD276" s="32">
        <f>IF(AQ276="7",BH276,0)</f>
        <v>0</v>
      </c>
      <c r="AE276" s="32">
        <f>IF(AQ276="7",BI276,0)</f>
        <v>0</v>
      </c>
      <c r="AF276" s="32">
        <f>IF(AQ276="2",BH276,0)</f>
        <v>0</v>
      </c>
      <c r="AG276" s="32">
        <f>IF(AQ276="2",BI276,0)</f>
        <v>0</v>
      </c>
      <c r="AH276" s="32">
        <f>IF(AQ276="0",BJ276,0)</f>
        <v>0</v>
      </c>
      <c r="AI276" s="28"/>
      <c r="AJ276" s="15">
        <f>IF(AN276=0,K276,0)</f>
        <v>0</v>
      </c>
      <c r="AK276" s="15">
        <f>IF(AN276=15,K276,0)</f>
        <v>0</v>
      </c>
      <c r="AL276" s="15">
        <f>IF(AN276=21,K276,0)</f>
        <v>0</v>
      </c>
      <c r="AN276" s="32">
        <v>21</v>
      </c>
      <c r="AO276" s="32">
        <f>H276*0</f>
        <v>0</v>
      </c>
      <c r="AP276" s="32">
        <f>H276*(1-0)</f>
        <v>0</v>
      </c>
      <c r="AQ276" s="27" t="s">
        <v>13</v>
      </c>
      <c r="AV276" s="32">
        <f>AW276+AX276</f>
        <v>0</v>
      </c>
      <c r="AW276" s="32">
        <f>G276*AO276</f>
        <v>0</v>
      </c>
      <c r="AX276" s="32">
        <f>G276*AP276</f>
        <v>0</v>
      </c>
      <c r="AY276" s="33" t="s">
        <v>875</v>
      </c>
      <c r="AZ276" s="33" t="s">
        <v>892</v>
      </c>
      <c r="BA276" s="28" t="s">
        <v>895</v>
      </c>
      <c r="BC276" s="32">
        <f>AW276+AX276</f>
        <v>0</v>
      </c>
      <c r="BD276" s="32">
        <f>H276/(100-BE276)*100</f>
        <v>0</v>
      </c>
      <c r="BE276" s="32">
        <v>0</v>
      </c>
      <c r="BF276" s="32">
        <f>274</f>
        <v>274</v>
      </c>
      <c r="BH276" s="15">
        <f>G276*AO276</f>
        <v>0</v>
      </c>
      <c r="BI276" s="15">
        <f>G276*AP276</f>
        <v>0</v>
      </c>
      <c r="BJ276" s="15">
        <f>G276*H276</f>
        <v>0</v>
      </c>
    </row>
    <row r="277" spans="1:62" x14ac:dyDescent="0.2">
      <c r="C277" s="58" t="s">
        <v>471</v>
      </c>
      <c r="D277" s="59"/>
      <c r="E277" s="59"/>
      <c r="G277" s="16">
        <v>892</v>
      </c>
    </row>
    <row r="278" spans="1:62" x14ac:dyDescent="0.2">
      <c r="A278" s="5"/>
      <c r="B278" s="13" t="s">
        <v>269</v>
      </c>
      <c r="C278" s="66" t="s">
        <v>590</v>
      </c>
      <c r="D278" s="67"/>
      <c r="E278" s="67"/>
      <c r="F278" s="5" t="s">
        <v>6</v>
      </c>
      <c r="G278" s="5" t="s">
        <v>6</v>
      </c>
      <c r="H278" s="5" t="s">
        <v>6</v>
      </c>
      <c r="I278" s="35">
        <f>SUM(I279:I322)</f>
        <v>0</v>
      </c>
      <c r="J278" s="35">
        <f>SUM(J279:J322)</f>
        <v>0</v>
      </c>
      <c r="K278" s="35">
        <f>SUM(K279:K322)</f>
        <v>0</v>
      </c>
      <c r="L278" s="28"/>
      <c r="AI278" s="28"/>
      <c r="AS278" s="35">
        <f>SUM(AJ279:AJ322)</f>
        <v>0</v>
      </c>
      <c r="AT278" s="35">
        <f>SUM(AK279:AK322)</f>
        <v>0</v>
      </c>
      <c r="AU278" s="35">
        <f>SUM(AL279:AL322)</f>
        <v>0</v>
      </c>
    </row>
    <row r="279" spans="1:62" x14ac:dyDescent="0.2">
      <c r="A279" s="4" t="s">
        <v>99</v>
      </c>
      <c r="B279" s="4" t="s">
        <v>270</v>
      </c>
      <c r="C279" s="56" t="s">
        <v>591</v>
      </c>
      <c r="D279" s="57"/>
      <c r="E279" s="57"/>
      <c r="F279" s="4" t="s">
        <v>823</v>
      </c>
      <c r="G279" s="15">
        <v>488.11599999999999</v>
      </c>
      <c r="H279" s="15">
        <v>0</v>
      </c>
      <c r="I279" s="15">
        <f>G279*AO279</f>
        <v>0</v>
      </c>
      <c r="J279" s="15">
        <f>G279*AP279</f>
        <v>0</v>
      </c>
      <c r="K279" s="15">
        <f>G279*H279</f>
        <v>0</v>
      </c>
      <c r="L279" s="27" t="s">
        <v>846</v>
      </c>
      <c r="Z279" s="32">
        <f>IF(AQ279="5",BJ279,0)</f>
        <v>0</v>
      </c>
      <c r="AB279" s="32">
        <f>IF(AQ279="1",BH279,0)</f>
        <v>0</v>
      </c>
      <c r="AC279" s="32">
        <f>IF(AQ279="1",BI279,0)</f>
        <v>0</v>
      </c>
      <c r="AD279" s="32">
        <f>IF(AQ279="7",BH279,0)</f>
        <v>0</v>
      </c>
      <c r="AE279" s="32">
        <f>IF(AQ279="7",BI279,0)</f>
        <v>0</v>
      </c>
      <c r="AF279" s="32">
        <f>IF(AQ279="2",BH279,0)</f>
        <v>0</v>
      </c>
      <c r="AG279" s="32">
        <f>IF(AQ279="2",BI279,0)</f>
        <v>0</v>
      </c>
      <c r="AH279" s="32">
        <f>IF(AQ279="0",BJ279,0)</f>
        <v>0</v>
      </c>
      <c r="AI279" s="28"/>
      <c r="AJ279" s="15">
        <f>IF(AN279=0,K279,0)</f>
        <v>0</v>
      </c>
      <c r="AK279" s="15">
        <f>IF(AN279=15,K279,0)</f>
        <v>0</v>
      </c>
      <c r="AL279" s="15">
        <f>IF(AN279=21,K279,0)</f>
        <v>0</v>
      </c>
      <c r="AN279" s="32">
        <v>21</v>
      </c>
      <c r="AO279" s="32">
        <f>H279*0.0282533333333333</f>
        <v>0</v>
      </c>
      <c r="AP279" s="32">
        <f>H279*(1-0.0282533333333333)</f>
        <v>0</v>
      </c>
      <c r="AQ279" s="27" t="s">
        <v>13</v>
      </c>
      <c r="AV279" s="32">
        <f>AW279+AX279</f>
        <v>0</v>
      </c>
      <c r="AW279" s="32">
        <f>G279*AO279</f>
        <v>0</v>
      </c>
      <c r="AX279" s="32">
        <f>G279*AP279</f>
        <v>0</v>
      </c>
      <c r="AY279" s="33" t="s">
        <v>876</v>
      </c>
      <c r="AZ279" s="33" t="s">
        <v>892</v>
      </c>
      <c r="BA279" s="28" t="s">
        <v>895</v>
      </c>
      <c r="BC279" s="32">
        <f>AW279+AX279</f>
        <v>0</v>
      </c>
      <c r="BD279" s="32">
        <f>H279/(100-BE279)*100</f>
        <v>0</v>
      </c>
      <c r="BE279" s="32">
        <v>0</v>
      </c>
      <c r="BF279" s="32">
        <f>277</f>
        <v>277</v>
      </c>
      <c r="BH279" s="15">
        <f>G279*AO279</f>
        <v>0</v>
      </c>
      <c r="BI279" s="15">
        <f>G279*AP279</f>
        <v>0</v>
      </c>
      <c r="BJ279" s="15">
        <f>G279*H279</f>
        <v>0</v>
      </c>
    </row>
    <row r="280" spans="1:62" x14ac:dyDescent="0.2">
      <c r="C280" s="58" t="s">
        <v>592</v>
      </c>
      <c r="D280" s="59"/>
      <c r="E280" s="59"/>
      <c r="G280" s="16">
        <v>0.54</v>
      </c>
    </row>
    <row r="281" spans="1:62" x14ac:dyDescent="0.2">
      <c r="C281" s="58" t="s">
        <v>593</v>
      </c>
      <c r="D281" s="59"/>
      <c r="E281" s="59"/>
      <c r="G281" s="16">
        <v>1.5760000000000001</v>
      </c>
    </row>
    <row r="282" spans="1:62" x14ac:dyDescent="0.2">
      <c r="C282" s="58" t="s">
        <v>594</v>
      </c>
      <c r="D282" s="59"/>
      <c r="E282" s="59"/>
      <c r="G282" s="16">
        <v>47.52</v>
      </c>
    </row>
    <row r="283" spans="1:62" x14ac:dyDescent="0.2">
      <c r="C283" s="58" t="s">
        <v>595</v>
      </c>
      <c r="D283" s="59"/>
      <c r="E283" s="59"/>
      <c r="G283" s="16">
        <v>0.72</v>
      </c>
    </row>
    <row r="284" spans="1:62" x14ac:dyDescent="0.2">
      <c r="C284" s="58" t="s">
        <v>596</v>
      </c>
      <c r="D284" s="59"/>
      <c r="E284" s="59"/>
      <c r="G284" s="16">
        <v>0.72</v>
      </c>
    </row>
    <row r="285" spans="1:62" x14ac:dyDescent="0.2">
      <c r="C285" s="58" t="s">
        <v>597</v>
      </c>
      <c r="D285" s="59"/>
      <c r="E285" s="59"/>
      <c r="G285" s="16">
        <v>2.88</v>
      </c>
    </row>
    <row r="286" spans="1:62" x14ac:dyDescent="0.2">
      <c r="C286" s="58" t="s">
        <v>598</v>
      </c>
      <c r="D286" s="59"/>
      <c r="E286" s="59"/>
      <c r="G286" s="16">
        <v>334.08</v>
      </c>
    </row>
    <row r="287" spans="1:62" x14ac:dyDescent="0.2">
      <c r="C287" s="58" t="s">
        <v>599</v>
      </c>
      <c r="D287" s="59"/>
      <c r="E287" s="59"/>
      <c r="G287" s="16">
        <v>5.76</v>
      </c>
    </row>
    <row r="288" spans="1:62" x14ac:dyDescent="0.2">
      <c r="C288" s="58" t="s">
        <v>600</v>
      </c>
      <c r="D288" s="59"/>
      <c r="E288" s="59"/>
      <c r="G288" s="16">
        <v>5.76</v>
      </c>
    </row>
    <row r="289" spans="1:62" x14ac:dyDescent="0.2">
      <c r="C289" s="58" t="s">
        <v>601</v>
      </c>
      <c r="D289" s="59"/>
      <c r="E289" s="59"/>
      <c r="G289" s="16">
        <v>28.8</v>
      </c>
    </row>
    <row r="290" spans="1:62" x14ac:dyDescent="0.2">
      <c r="C290" s="58" t="s">
        <v>602</v>
      </c>
      <c r="D290" s="59"/>
      <c r="E290" s="59"/>
      <c r="G290" s="16">
        <v>21.6</v>
      </c>
    </row>
    <row r="291" spans="1:62" x14ac:dyDescent="0.2">
      <c r="C291" s="58" t="s">
        <v>603</v>
      </c>
      <c r="D291" s="59"/>
      <c r="E291" s="59"/>
      <c r="G291" s="16">
        <v>2.16</v>
      </c>
    </row>
    <row r="292" spans="1:62" x14ac:dyDescent="0.2">
      <c r="C292" s="58" t="s">
        <v>604</v>
      </c>
      <c r="D292" s="59"/>
      <c r="E292" s="59"/>
      <c r="G292" s="16">
        <v>14.4</v>
      </c>
    </row>
    <row r="293" spans="1:62" x14ac:dyDescent="0.2">
      <c r="C293" s="58" t="s">
        <v>605</v>
      </c>
      <c r="D293" s="59"/>
      <c r="E293" s="59"/>
      <c r="G293" s="16">
        <v>21.6</v>
      </c>
    </row>
    <row r="294" spans="1:62" x14ac:dyDescent="0.2">
      <c r="A294" s="6" t="s">
        <v>100</v>
      </c>
      <c r="B294" s="6" t="s">
        <v>271</v>
      </c>
      <c r="C294" s="68" t="s">
        <v>606</v>
      </c>
      <c r="D294" s="69"/>
      <c r="E294" s="69"/>
      <c r="F294" s="6" t="s">
        <v>827</v>
      </c>
      <c r="G294" s="17">
        <v>1</v>
      </c>
      <c r="H294" s="17">
        <v>0</v>
      </c>
      <c r="I294" s="17">
        <f>G294*AO294</f>
        <v>0</v>
      </c>
      <c r="J294" s="17">
        <f>G294*AP294</f>
        <v>0</v>
      </c>
      <c r="K294" s="17">
        <f>G294*H294</f>
        <v>0</v>
      </c>
      <c r="L294" s="29"/>
      <c r="Z294" s="32">
        <f>IF(AQ294="5",BJ294,0)</f>
        <v>0</v>
      </c>
      <c r="AB294" s="32">
        <f>IF(AQ294="1",BH294,0)</f>
        <v>0</v>
      </c>
      <c r="AC294" s="32">
        <f>IF(AQ294="1",BI294,0)</f>
        <v>0</v>
      </c>
      <c r="AD294" s="32">
        <f>IF(AQ294="7",BH294,0)</f>
        <v>0</v>
      </c>
      <c r="AE294" s="32">
        <f>IF(AQ294="7",BI294,0)</f>
        <v>0</v>
      </c>
      <c r="AF294" s="32">
        <f>IF(AQ294="2",BH294,0)</f>
        <v>0</v>
      </c>
      <c r="AG294" s="32">
        <f>IF(AQ294="2",BI294,0)</f>
        <v>0</v>
      </c>
      <c r="AH294" s="32">
        <f>IF(AQ294="0",BJ294,0)</f>
        <v>0</v>
      </c>
      <c r="AI294" s="28"/>
      <c r="AJ294" s="17">
        <f>IF(AN294=0,K294,0)</f>
        <v>0</v>
      </c>
      <c r="AK294" s="17">
        <f>IF(AN294=15,K294,0)</f>
        <v>0</v>
      </c>
      <c r="AL294" s="17">
        <f>IF(AN294=21,K294,0)</f>
        <v>0</v>
      </c>
      <c r="AN294" s="32">
        <v>21</v>
      </c>
      <c r="AO294" s="32">
        <f>H294*1</f>
        <v>0</v>
      </c>
      <c r="AP294" s="32">
        <f>H294*(1-1)</f>
        <v>0</v>
      </c>
      <c r="AQ294" s="29" t="s">
        <v>13</v>
      </c>
      <c r="AV294" s="32">
        <f>AW294+AX294</f>
        <v>0</v>
      </c>
      <c r="AW294" s="32">
        <f>G294*AO294</f>
        <v>0</v>
      </c>
      <c r="AX294" s="32">
        <f>G294*AP294</f>
        <v>0</v>
      </c>
      <c r="AY294" s="33" t="s">
        <v>876</v>
      </c>
      <c r="AZ294" s="33" t="s">
        <v>892</v>
      </c>
      <c r="BA294" s="28" t="s">
        <v>895</v>
      </c>
      <c r="BC294" s="32">
        <f>AW294+AX294</f>
        <v>0</v>
      </c>
      <c r="BD294" s="32">
        <f>H294/(100-BE294)*100</f>
        <v>0</v>
      </c>
      <c r="BE294" s="32">
        <v>0</v>
      </c>
      <c r="BF294" s="32">
        <f>292</f>
        <v>292</v>
      </c>
      <c r="BH294" s="17">
        <f>G294*AO294</f>
        <v>0</v>
      </c>
      <c r="BI294" s="17">
        <f>G294*AP294</f>
        <v>0</v>
      </c>
      <c r="BJ294" s="17">
        <f>G294*H294</f>
        <v>0</v>
      </c>
    </row>
    <row r="295" spans="1:62" x14ac:dyDescent="0.2">
      <c r="C295" s="58" t="s">
        <v>607</v>
      </c>
      <c r="D295" s="59"/>
      <c r="E295" s="59"/>
      <c r="G295" s="16">
        <v>1</v>
      </c>
    </row>
    <row r="296" spans="1:62" x14ac:dyDescent="0.2">
      <c r="A296" s="6" t="s">
        <v>101</v>
      </c>
      <c r="B296" s="6" t="s">
        <v>272</v>
      </c>
      <c r="C296" s="68" t="s">
        <v>608</v>
      </c>
      <c r="D296" s="69"/>
      <c r="E296" s="69"/>
      <c r="F296" s="6" t="s">
        <v>827</v>
      </c>
      <c r="G296" s="17">
        <v>1</v>
      </c>
      <c r="H296" s="17">
        <v>0</v>
      </c>
      <c r="I296" s="17">
        <f>G296*AO296</f>
        <v>0</v>
      </c>
      <c r="J296" s="17">
        <f>G296*AP296</f>
        <v>0</v>
      </c>
      <c r="K296" s="17">
        <f>G296*H296</f>
        <v>0</v>
      </c>
      <c r="L296" s="29"/>
      <c r="Z296" s="32">
        <f>IF(AQ296="5",BJ296,0)</f>
        <v>0</v>
      </c>
      <c r="AB296" s="32">
        <f>IF(AQ296="1",BH296,0)</f>
        <v>0</v>
      </c>
      <c r="AC296" s="32">
        <f>IF(AQ296="1",BI296,0)</f>
        <v>0</v>
      </c>
      <c r="AD296" s="32">
        <f>IF(AQ296="7",BH296,0)</f>
        <v>0</v>
      </c>
      <c r="AE296" s="32">
        <f>IF(AQ296="7",BI296,0)</f>
        <v>0</v>
      </c>
      <c r="AF296" s="32">
        <f>IF(AQ296="2",BH296,0)</f>
        <v>0</v>
      </c>
      <c r="AG296" s="32">
        <f>IF(AQ296="2",BI296,0)</f>
        <v>0</v>
      </c>
      <c r="AH296" s="32">
        <f>IF(AQ296="0",BJ296,0)</f>
        <v>0</v>
      </c>
      <c r="AI296" s="28"/>
      <c r="AJ296" s="17">
        <f>IF(AN296=0,K296,0)</f>
        <v>0</v>
      </c>
      <c r="AK296" s="17">
        <f>IF(AN296=15,K296,0)</f>
        <v>0</v>
      </c>
      <c r="AL296" s="17">
        <f>IF(AN296=21,K296,0)</f>
        <v>0</v>
      </c>
      <c r="AN296" s="32">
        <v>21</v>
      </c>
      <c r="AO296" s="32">
        <f>H296*1</f>
        <v>0</v>
      </c>
      <c r="AP296" s="32">
        <f>H296*(1-1)</f>
        <v>0</v>
      </c>
      <c r="AQ296" s="29" t="s">
        <v>13</v>
      </c>
      <c r="AV296" s="32">
        <f>AW296+AX296</f>
        <v>0</v>
      </c>
      <c r="AW296" s="32">
        <f>G296*AO296</f>
        <v>0</v>
      </c>
      <c r="AX296" s="32">
        <f>G296*AP296</f>
        <v>0</v>
      </c>
      <c r="AY296" s="33" t="s">
        <v>876</v>
      </c>
      <c r="AZ296" s="33" t="s">
        <v>892</v>
      </c>
      <c r="BA296" s="28" t="s">
        <v>895</v>
      </c>
      <c r="BC296" s="32">
        <f>AW296+AX296</f>
        <v>0</v>
      </c>
      <c r="BD296" s="32">
        <f>H296/(100-BE296)*100</f>
        <v>0</v>
      </c>
      <c r="BE296" s="32">
        <v>0</v>
      </c>
      <c r="BF296" s="32">
        <f>294</f>
        <v>294</v>
      </c>
      <c r="BH296" s="17">
        <f>G296*AO296</f>
        <v>0</v>
      </c>
      <c r="BI296" s="17">
        <f>G296*AP296</f>
        <v>0</v>
      </c>
      <c r="BJ296" s="17">
        <f>G296*H296</f>
        <v>0</v>
      </c>
    </row>
    <row r="297" spans="1:62" x14ac:dyDescent="0.2">
      <c r="C297" s="58" t="s">
        <v>609</v>
      </c>
      <c r="D297" s="59"/>
      <c r="E297" s="59"/>
      <c r="G297" s="16">
        <v>1</v>
      </c>
    </row>
    <row r="298" spans="1:62" x14ac:dyDescent="0.2">
      <c r="A298" s="6" t="s">
        <v>102</v>
      </c>
      <c r="B298" s="6" t="s">
        <v>273</v>
      </c>
      <c r="C298" s="68" t="s">
        <v>610</v>
      </c>
      <c r="D298" s="69"/>
      <c r="E298" s="69"/>
      <c r="F298" s="6" t="s">
        <v>827</v>
      </c>
      <c r="G298" s="17">
        <v>1</v>
      </c>
      <c r="H298" s="17">
        <v>0</v>
      </c>
      <c r="I298" s="17">
        <f>G298*AO298</f>
        <v>0</v>
      </c>
      <c r="J298" s="17">
        <f>G298*AP298</f>
        <v>0</v>
      </c>
      <c r="K298" s="17">
        <f>G298*H298</f>
        <v>0</v>
      </c>
      <c r="L298" s="29"/>
      <c r="Z298" s="32">
        <f>IF(AQ298="5",BJ298,0)</f>
        <v>0</v>
      </c>
      <c r="AB298" s="32">
        <f>IF(AQ298="1",BH298,0)</f>
        <v>0</v>
      </c>
      <c r="AC298" s="32">
        <f>IF(AQ298="1",BI298,0)</f>
        <v>0</v>
      </c>
      <c r="AD298" s="32">
        <f>IF(AQ298="7",BH298,0)</f>
        <v>0</v>
      </c>
      <c r="AE298" s="32">
        <f>IF(AQ298="7",BI298,0)</f>
        <v>0</v>
      </c>
      <c r="AF298" s="32">
        <f>IF(AQ298="2",BH298,0)</f>
        <v>0</v>
      </c>
      <c r="AG298" s="32">
        <f>IF(AQ298="2",BI298,0)</f>
        <v>0</v>
      </c>
      <c r="AH298" s="32">
        <f>IF(AQ298="0",BJ298,0)</f>
        <v>0</v>
      </c>
      <c r="AI298" s="28"/>
      <c r="AJ298" s="17">
        <f>IF(AN298=0,K298,0)</f>
        <v>0</v>
      </c>
      <c r="AK298" s="17">
        <f>IF(AN298=15,K298,0)</f>
        <v>0</v>
      </c>
      <c r="AL298" s="17">
        <f>IF(AN298=21,K298,0)</f>
        <v>0</v>
      </c>
      <c r="AN298" s="32">
        <v>21</v>
      </c>
      <c r="AO298" s="32">
        <f>H298*1</f>
        <v>0</v>
      </c>
      <c r="AP298" s="32">
        <f>H298*(1-1)</f>
        <v>0</v>
      </c>
      <c r="AQ298" s="29" t="s">
        <v>13</v>
      </c>
      <c r="AV298" s="32">
        <f>AW298+AX298</f>
        <v>0</v>
      </c>
      <c r="AW298" s="32">
        <f>G298*AO298</f>
        <v>0</v>
      </c>
      <c r="AX298" s="32">
        <f>G298*AP298</f>
        <v>0</v>
      </c>
      <c r="AY298" s="33" t="s">
        <v>876</v>
      </c>
      <c r="AZ298" s="33" t="s">
        <v>892</v>
      </c>
      <c r="BA298" s="28" t="s">
        <v>895</v>
      </c>
      <c r="BC298" s="32">
        <f>AW298+AX298</f>
        <v>0</v>
      </c>
      <c r="BD298" s="32">
        <f>H298/(100-BE298)*100</f>
        <v>0</v>
      </c>
      <c r="BE298" s="32">
        <v>0</v>
      </c>
      <c r="BF298" s="32">
        <f>296</f>
        <v>296</v>
      </c>
      <c r="BH298" s="17">
        <f>G298*AO298</f>
        <v>0</v>
      </c>
      <c r="BI298" s="17">
        <f>G298*AP298</f>
        <v>0</v>
      </c>
      <c r="BJ298" s="17">
        <f>G298*H298</f>
        <v>0</v>
      </c>
    </row>
    <row r="299" spans="1:62" x14ac:dyDescent="0.2">
      <c r="C299" s="58" t="s">
        <v>611</v>
      </c>
      <c r="D299" s="59"/>
      <c r="E299" s="59"/>
      <c r="G299" s="16">
        <v>1</v>
      </c>
    </row>
    <row r="300" spans="1:62" x14ac:dyDescent="0.2">
      <c r="A300" s="6" t="s">
        <v>103</v>
      </c>
      <c r="B300" s="6" t="s">
        <v>274</v>
      </c>
      <c r="C300" s="68" t="s">
        <v>612</v>
      </c>
      <c r="D300" s="69"/>
      <c r="E300" s="69"/>
      <c r="F300" s="6" t="s">
        <v>827</v>
      </c>
      <c r="G300" s="17">
        <v>1</v>
      </c>
      <c r="H300" s="17">
        <v>0</v>
      </c>
      <c r="I300" s="17">
        <f>G300*AO300</f>
        <v>0</v>
      </c>
      <c r="J300" s="17">
        <f>G300*AP300</f>
        <v>0</v>
      </c>
      <c r="K300" s="17">
        <f>G300*H300</f>
        <v>0</v>
      </c>
      <c r="L300" s="29"/>
      <c r="Z300" s="32">
        <f>IF(AQ300="5",BJ300,0)</f>
        <v>0</v>
      </c>
      <c r="AB300" s="32">
        <f>IF(AQ300="1",BH300,0)</f>
        <v>0</v>
      </c>
      <c r="AC300" s="32">
        <f>IF(AQ300="1",BI300,0)</f>
        <v>0</v>
      </c>
      <c r="AD300" s="32">
        <f>IF(AQ300="7",BH300,0)</f>
        <v>0</v>
      </c>
      <c r="AE300" s="32">
        <f>IF(AQ300="7",BI300,0)</f>
        <v>0</v>
      </c>
      <c r="AF300" s="32">
        <f>IF(AQ300="2",BH300,0)</f>
        <v>0</v>
      </c>
      <c r="AG300" s="32">
        <f>IF(AQ300="2",BI300,0)</f>
        <v>0</v>
      </c>
      <c r="AH300" s="32">
        <f>IF(AQ300="0",BJ300,0)</f>
        <v>0</v>
      </c>
      <c r="AI300" s="28"/>
      <c r="AJ300" s="17">
        <f>IF(AN300=0,K300,0)</f>
        <v>0</v>
      </c>
      <c r="AK300" s="17">
        <f>IF(AN300=15,K300,0)</f>
        <v>0</v>
      </c>
      <c r="AL300" s="17">
        <f>IF(AN300=21,K300,0)</f>
        <v>0</v>
      </c>
      <c r="AN300" s="32">
        <v>21</v>
      </c>
      <c r="AO300" s="32">
        <f>H300*1</f>
        <v>0</v>
      </c>
      <c r="AP300" s="32">
        <f>H300*(1-1)</f>
        <v>0</v>
      </c>
      <c r="AQ300" s="29" t="s">
        <v>13</v>
      </c>
      <c r="AV300" s="32">
        <f>AW300+AX300</f>
        <v>0</v>
      </c>
      <c r="AW300" s="32">
        <f>G300*AO300</f>
        <v>0</v>
      </c>
      <c r="AX300" s="32">
        <f>G300*AP300</f>
        <v>0</v>
      </c>
      <c r="AY300" s="33" t="s">
        <v>876</v>
      </c>
      <c r="AZ300" s="33" t="s">
        <v>892</v>
      </c>
      <c r="BA300" s="28" t="s">
        <v>895</v>
      </c>
      <c r="BC300" s="32">
        <f>AW300+AX300</f>
        <v>0</v>
      </c>
      <c r="BD300" s="32">
        <f>H300/(100-BE300)*100</f>
        <v>0</v>
      </c>
      <c r="BE300" s="32">
        <v>0</v>
      </c>
      <c r="BF300" s="32">
        <f>298</f>
        <v>298</v>
      </c>
      <c r="BH300" s="17">
        <f>G300*AO300</f>
        <v>0</v>
      </c>
      <c r="BI300" s="17">
        <f>G300*AP300</f>
        <v>0</v>
      </c>
      <c r="BJ300" s="17">
        <f>G300*H300</f>
        <v>0</v>
      </c>
    </row>
    <row r="301" spans="1:62" x14ac:dyDescent="0.2">
      <c r="C301" s="58" t="s">
        <v>613</v>
      </c>
      <c r="D301" s="59"/>
      <c r="E301" s="59"/>
      <c r="G301" s="16">
        <v>1</v>
      </c>
    </row>
    <row r="302" spans="1:62" x14ac:dyDescent="0.2">
      <c r="A302" s="6" t="s">
        <v>104</v>
      </c>
      <c r="B302" s="6" t="s">
        <v>275</v>
      </c>
      <c r="C302" s="68" t="s">
        <v>614</v>
      </c>
      <c r="D302" s="69"/>
      <c r="E302" s="69"/>
      <c r="F302" s="6" t="s">
        <v>827</v>
      </c>
      <c r="G302" s="17">
        <v>2</v>
      </c>
      <c r="H302" s="17">
        <v>0</v>
      </c>
      <c r="I302" s="17">
        <f>G302*AO302</f>
        <v>0</v>
      </c>
      <c r="J302" s="17">
        <f>G302*AP302</f>
        <v>0</v>
      </c>
      <c r="K302" s="17">
        <f>G302*H302</f>
        <v>0</v>
      </c>
      <c r="L302" s="29"/>
      <c r="Z302" s="32">
        <f>IF(AQ302="5",BJ302,0)</f>
        <v>0</v>
      </c>
      <c r="AB302" s="32">
        <f>IF(AQ302="1",BH302,0)</f>
        <v>0</v>
      </c>
      <c r="AC302" s="32">
        <f>IF(AQ302="1",BI302,0)</f>
        <v>0</v>
      </c>
      <c r="AD302" s="32">
        <f>IF(AQ302="7",BH302,0)</f>
        <v>0</v>
      </c>
      <c r="AE302" s="32">
        <f>IF(AQ302="7",BI302,0)</f>
        <v>0</v>
      </c>
      <c r="AF302" s="32">
        <f>IF(AQ302="2",BH302,0)</f>
        <v>0</v>
      </c>
      <c r="AG302" s="32">
        <f>IF(AQ302="2",BI302,0)</f>
        <v>0</v>
      </c>
      <c r="AH302" s="32">
        <f>IF(AQ302="0",BJ302,0)</f>
        <v>0</v>
      </c>
      <c r="AI302" s="28"/>
      <c r="AJ302" s="17">
        <f>IF(AN302=0,K302,0)</f>
        <v>0</v>
      </c>
      <c r="AK302" s="17">
        <f>IF(AN302=15,K302,0)</f>
        <v>0</v>
      </c>
      <c r="AL302" s="17">
        <f>IF(AN302=21,K302,0)</f>
        <v>0</v>
      </c>
      <c r="AN302" s="32">
        <v>21</v>
      </c>
      <c r="AO302" s="32">
        <f>H302*1</f>
        <v>0</v>
      </c>
      <c r="AP302" s="32">
        <f>H302*(1-1)</f>
        <v>0</v>
      </c>
      <c r="AQ302" s="29" t="s">
        <v>13</v>
      </c>
      <c r="AV302" s="32">
        <f>AW302+AX302</f>
        <v>0</v>
      </c>
      <c r="AW302" s="32">
        <f>G302*AO302</f>
        <v>0</v>
      </c>
      <c r="AX302" s="32">
        <f>G302*AP302</f>
        <v>0</v>
      </c>
      <c r="AY302" s="33" t="s">
        <v>876</v>
      </c>
      <c r="AZ302" s="33" t="s">
        <v>892</v>
      </c>
      <c r="BA302" s="28" t="s">
        <v>895</v>
      </c>
      <c r="BC302" s="32">
        <f>AW302+AX302</f>
        <v>0</v>
      </c>
      <c r="BD302" s="32">
        <f>H302/(100-BE302)*100</f>
        <v>0</v>
      </c>
      <c r="BE302" s="32">
        <v>0</v>
      </c>
      <c r="BF302" s="32">
        <f>300</f>
        <v>300</v>
      </c>
      <c r="BH302" s="17">
        <f>G302*AO302</f>
        <v>0</v>
      </c>
      <c r="BI302" s="17">
        <f>G302*AP302</f>
        <v>0</v>
      </c>
      <c r="BJ302" s="17">
        <f>G302*H302</f>
        <v>0</v>
      </c>
    </row>
    <row r="303" spans="1:62" x14ac:dyDescent="0.2">
      <c r="C303" s="58" t="s">
        <v>615</v>
      </c>
      <c r="D303" s="59"/>
      <c r="E303" s="59"/>
      <c r="G303" s="16">
        <v>2</v>
      </c>
    </row>
    <row r="304" spans="1:62" x14ac:dyDescent="0.2">
      <c r="A304" s="6" t="s">
        <v>105</v>
      </c>
      <c r="B304" s="6" t="s">
        <v>276</v>
      </c>
      <c r="C304" s="68" t="s">
        <v>616</v>
      </c>
      <c r="D304" s="69"/>
      <c r="E304" s="69"/>
      <c r="F304" s="6" t="s">
        <v>827</v>
      </c>
      <c r="G304" s="17">
        <v>2</v>
      </c>
      <c r="H304" s="17">
        <v>0</v>
      </c>
      <c r="I304" s="17">
        <f>G304*AO304</f>
        <v>0</v>
      </c>
      <c r="J304" s="17">
        <f>G304*AP304</f>
        <v>0</v>
      </c>
      <c r="K304" s="17">
        <f>G304*H304</f>
        <v>0</v>
      </c>
      <c r="L304" s="29"/>
      <c r="Z304" s="32">
        <f>IF(AQ304="5",BJ304,0)</f>
        <v>0</v>
      </c>
      <c r="AB304" s="32">
        <f>IF(AQ304="1",BH304,0)</f>
        <v>0</v>
      </c>
      <c r="AC304" s="32">
        <f>IF(AQ304="1",BI304,0)</f>
        <v>0</v>
      </c>
      <c r="AD304" s="32">
        <f>IF(AQ304="7",BH304,0)</f>
        <v>0</v>
      </c>
      <c r="AE304" s="32">
        <f>IF(AQ304="7",BI304,0)</f>
        <v>0</v>
      </c>
      <c r="AF304" s="32">
        <f>IF(AQ304="2",BH304,0)</f>
        <v>0</v>
      </c>
      <c r="AG304" s="32">
        <f>IF(AQ304="2",BI304,0)</f>
        <v>0</v>
      </c>
      <c r="AH304" s="32">
        <f>IF(AQ304="0",BJ304,0)</f>
        <v>0</v>
      </c>
      <c r="AI304" s="28"/>
      <c r="AJ304" s="17">
        <f>IF(AN304=0,K304,0)</f>
        <v>0</v>
      </c>
      <c r="AK304" s="17">
        <f>IF(AN304=15,K304,0)</f>
        <v>0</v>
      </c>
      <c r="AL304" s="17">
        <f>IF(AN304=21,K304,0)</f>
        <v>0</v>
      </c>
      <c r="AN304" s="32">
        <v>21</v>
      </c>
      <c r="AO304" s="32">
        <f>H304*1</f>
        <v>0</v>
      </c>
      <c r="AP304" s="32">
        <f>H304*(1-1)</f>
        <v>0</v>
      </c>
      <c r="AQ304" s="29" t="s">
        <v>13</v>
      </c>
      <c r="AV304" s="32">
        <f>AW304+AX304</f>
        <v>0</v>
      </c>
      <c r="AW304" s="32">
        <f>G304*AO304</f>
        <v>0</v>
      </c>
      <c r="AX304" s="32">
        <f>G304*AP304</f>
        <v>0</v>
      </c>
      <c r="AY304" s="33" t="s">
        <v>876</v>
      </c>
      <c r="AZ304" s="33" t="s">
        <v>892</v>
      </c>
      <c r="BA304" s="28" t="s">
        <v>895</v>
      </c>
      <c r="BC304" s="32">
        <f>AW304+AX304</f>
        <v>0</v>
      </c>
      <c r="BD304" s="32">
        <f>H304/(100-BE304)*100</f>
        <v>0</v>
      </c>
      <c r="BE304" s="32">
        <v>0</v>
      </c>
      <c r="BF304" s="32">
        <f>302</f>
        <v>302</v>
      </c>
      <c r="BH304" s="17">
        <f>G304*AO304</f>
        <v>0</v>
      </c>
      <c r="BI304" s="17">
        <f>G304*AP304</f>
        <v>0</v>
      </c>
      <c r="BJ304" s="17">
        <f>G304*H304</f>
        <v>0</v>
      </c>
    </row>
    <row r="305" spans="1:62" x14ac:dyDescent="0.2">
      <c r="C305" s="58" t="s">
        <v>617</v>
      </c>
      <c r="D305" s="59"/>
      <c r="E305" s="59"/>
      <c r="G305" s="16">
        <v>2</v>
      </c>
    </row>
    <row r="306" spans="1:62" x14ac:dyDescent="0.2">
      <c r="A306" s="6" t="s">
        <v>106</v>
      </c>
      <c r="B306" s="6" t="s">
        <v>277</v>
      </c>
      <c r="C306" s="68" t="s">
        <v>618</v>
      </c>
      <c r="D306" s="69"/>
      <c r="E306" s="69"/>
      <c r="F306" s="6" t="s">
        <v>827</v>
      </c>
      <c r="G306" s="17">
        <v>60</v>
      </c>
      <c r="H306" s="17">
        <v>0</v>
      </c>
      <c r="I306" s="17">
        <f>G306*AO306</f>
        <v>0</v>
      </c>
      <c r="J306" s="17">
        <f>G306*AP306</f>
        <v>0</v>
      </c>
      <c r="K306" s="17">
        <f>G306*H306</f>
        <v>0</v>
      </c>
      <c r="L306" s="29"/>
      <c r="Z306" s="32">
        <f>IF(AQ306="5",BJ306,0)</f>
        <v>0</v>
      </c>
      <c r="AB306" s="32">
        <f>IF(AQ306="1",BH306,0)</f>
        <v>0</v>
      </c>
      <c r="AC306" s="32">
        <f>IF(AQ306="1",BI306,0)</f>
        <v>0</v>
      </c>
      <c r="AD306" s="32">
        <f>IF(AQ306="7",BH306,0)</f>
        <v>0</v>
      </c>
      <c r="AE306" s="32">
        <f>IF(AQ306="7",BI306,0)</f>
        <v>0</v>
      </c>
      <c r="AF306" s="32">
        <f>IF(AQ306="2",BH306,0)</f>
        <v>0</v>
      </c>
      <c r="AG306" s="32">
        <f>IF(AQ306="2",BI306,0)</f>
        <v>0</v>
      </c>
      <c r="AH306" s="32">
        <f>IF(AQ306="0",BJ306,0)</f>
        <v>0</v>
      </c>
      <c r="AI306" s="28"/>
      <c r="AJ306" s="17">
        <f>IF(AN306=0,K306,0)</f>
        <v>0</v>
      </c>
      <c r="AK306" s="17">
        <f>IF(AN306=15,K306,0)</f>
        <v>0</v>
      </c>
      <c r="AL306" s="17">
        <f>IF(AN306=21,K306,0)</f>
        <v>0</v>
      </c>
      <c r="AN306" s="32">
        <v>21</v>
      </c>
      <c r="AO306" s="32">
        <f>H306*1</f>
        <v>0</v>
      </c>
      <c r="AP306" s="32">
        <f>H306*(1-1)</f>
        <v>0</v>
      </c>
      <c r="AQ306" s="29" t="s">
        <v>13</v>
      </c>
      <c r="AV306" s="32">
        <f>AW306+AX306</f>
        <v>0</v>
      </c>
      <c r="AW306" s="32">
        <f>G306*AO306</f>
        <v>0</v>
      </c>
      <c r="AX306" s="32">
        <f>G306*AP306</f>
        <v>0</v>
      </c>
      <c r="AY306" s="33" t="s">
        <v>876</v>
      </c>
      <c r="AZ306" s="33" t="s">
        <v>892</v>
      </c>
      <c r="BA306" s="28" t="s">
        <v>895</v>
      </c>
      <c r="BC306" s="32">
        <f>AW306+AX306</f>
        <v>0</v>
      </c>
      <c r="BD306" s="32">
        <f>H306/(100-BE306)*100</f>
        <v>0</v>
      </c>
      <c r="BE306" s="32">
        <v>0</v>
      </c>
      <c r="BF306" s="32">
        <f>304</f>
        <v>304</v>
      </c>
      <c r="BH306" s="17">
        <f>G306*AO306</f>
        <v>0</v>
      </c>
      <c r="BI306" s="17">
        <f>G306*AP306</f>
        <v>0</v>
      </c>
      <c r="BJ306" s="17">
        <f>G306*H306</f>
        <v>0</v>
      </c>
    </row>
    <row r="307" spans="1:62" x14ac:dyDescent="0.2">
      <c r="C307" s="58" t="s">
        <v>619</v>
      </c>
      <c r="D307" s="59"/>
      <c r="E307" s="59"/>
      <c r="G307" s="16">
        <v>58</v>
      </c>
    </row>
    <row r="308" spans="1:62" x14ac:dyDescent="0.2">
      <c r="C308" s="58" t="s">
        <v>620</v>
      </c>
      <c r="D308" s="59"/>
      <c r="E308" s="59"/>
      <c r="G308" s="16">
        <v>1</v>
      </c>
    </row>
    <row r="309" spans="1:62" x14ac:dyDescent="0.2">
      <c r="C309" s="58" t="s">
        <v>621</v>
      </c>
      <c r="D309" s="59"/>
      <c r="E309" s="59"/>
      <c r="G309" s="16">
        <v>1</v>
      </c>
    </row>
    <row r="310" spans="1:62" x14ac:dyDescent="0.2">
      <c r="A310" s="6" t="s">
        <v>107</v>
      </c>
      <c r="B310" s="6" t="s">
        <v>278</v>
      </c>
      <c r="C310" s="68" t="s">
        <v>622</v>
      </c>
      <c r="D310" s="69"/>
      <c r="E310" s="69"/>
      <c r="F310" s="6" t="s">
        <v>827</v>
      </c>
      <c r="G310" s="17">
        <v>8</v>
      </c>
      <c r="H310" s="17">
        <v>0</v>
      </c>
      <c r="I310" s="17">
        <f>G310*AO310</f>
        <v>0</v>
      </c>
      <c r="J310" s="17">
        <f>G310*AP310</f>
        <v>0</v>
      </c>
      <c r="K310" s="17">
        <f>G310*H310</f>
        <v>0</v>
      </c>
      <c r="L310" s="29"/>
      <c r="Z310" s="32">
        <f>IF(AQ310="5",BJ310,0)</f>
        <v>0</v>
      </c>
      <c r="AB310" s="32">
        <f>IF(AQ310="1",BH310,0)</f>
        <v>0</v>
      </c>
      <c r="AC310" s="32">
        <f>IF(AQ310="1",BI310,0)</f>
        <v>0</v>
      </c>
      <c r="AD310" s="32">
        <f>IF(AQ310="7",BH310,0)</f>
        <v>0</v>
      </c>
      <c r="AE310" s="32">
        <f>IF(AQ310="7",BI310,0)</f>
        <v>0</v>
      </c>
      <c r="AF310" s="32">
        <f>IF(AQ310="2",BH310,0)</f>
        <v>0</v>
      </c>
      <c r="AG310" s="32">
        <f>IF(AQ310="2",BI310,0)</f>
        <v>0</v>
      </c>
      <c r="AH310" s="32">
        <f>IF(AQ310="0",BJ310,0)</f>
        <v>0</v>
      </c>
      <c r="AI310" s="28"/>
      <c r="AJ310" s="17">
        <f>IF(AN310=0,K310,0)</f>
        <v>0</v>
      </c>
      <c r="AK310" s="17">
        <f>IF(AN310=15,K310,0)</f>
        <v>0</v>
      </c>
      <c r="AL310" s="17">
        <f>IF(AN310=21,K310,0)</f>
        <v>0</v>
      </c>
      <c r="AN310" s="32">
        <v>21</v>
      </c>
      <c r="AO310" s="32">
        <f>H310*1</f>
        <v>0</v>
      </c>
      <c r="AP310" s="32">
        <f>H310*(1-1)</f>
        <v>0</v>
      </c>
      <c r="AQ310" s="29" t="s">
        <v>13</v>
      </c>
      <c r="AV310" s="32">
        <f>AW310+AX310</f>
        <v>0</v>
      </c>
      <c r="AW310" s="32">
        <f>G310*AO310</f>
        <v>0</v>
      </c>
      <c r="AX310" s="32">
        <f>G310*AP310</f>
        <v>0</v>
      </c>
      <c r="AY310" s="33" t="s">
        <v>876</v>
      </c>
      <c r="AZ310" s="33" t="s">
        <v>892</v>
      </c>
      <c r="BA310" s="28" t="s">
        <v>895</v>
      </c>
      <c r="BC310" s="32">
        <f>AW310+AX310</f>
        <v>0</v>
      </c>
      <c r="BD310" s="32">
        <f>H310/(100-BE310)*100</f>
        <v>0</v>
      </c>
      <c r="BE310" s="32">
        <v>0</v>
      </c>
      <c r="BF310" s="32">
        <f>308</f>
        <v>308</v>
      </c>
      <c r="BH310" s="17">
        <f>G310*AO310</f>
        <v>0</v>
      </c>
      <c r="BI310" s="17">
        <f>G310*AP310</f>
        <v>0</v>
      </c>
      <c r="BJ310" s="17">
        <f>G310*H310</f>
        <v>0</v>
      </c>
    </row>
    <row r="311" spans="1:62" x14ac:dyDescent="0.2">
      <c r="C311" s="58" t="s">
        <v>623</v>
      </c>
      <c r="D311" s="59"/>
      <c r="E311" s="59"/>
      <c r="G311" s="16">
        <v>8</v>
      </c>
    </row>
    <row r="312" spans="1:62" x14ac:dyDescent="0.2">
      <c r="A312" s="6" t="s">
        <v>108</v>
      </c>
      <c r="B312" s="6" t="s">
        <v>279</v>
      </c>
      <c r="C312" s="68" t="s">
        <v>624</v>
      </c>
      <c r="D312" s="69"/>
      <c r="E312" s="69"/>
      <c r="F312" s="6" t="s">
        <v>827</v>
      </c>
      <c r="G312" s="17">
        <v>6</v>
      </c>
      <c r="H312" s="17">
        <v>0</v>
      </c>
      <c r="I312" s="17">
        <f>G312*AO312</f>
        <v>0</v>
      </c>
      <c r="J312" s="17">
        <f>G312*AP312</f>
        <v>0</v>
      </c>
      <c r="K312" s="17">
        <f>G312*H312</f>
        <v>0</v>
      </c>
      <c r="L312" s="29"/>
      <c r="Z312" s="32">
        <f>IF(AQ312="5",BJ312,0)</f>
        <v>0</v>
      </c>
      <c r="AB312" s="32">
        <f>IF(AQ312="1",BH312,0)</f>
        <v>0</v>
      </c>
      <c r="AC312" s="32">
        <f>IF(AQ312="1",BI312,0)</f>
        <v>0</v>
      </c>
      <c r="AD312" s="32">
        <f>IF(AQ312="7",BH312,0)</f>
        <v>0</v>
      </c>
      <c r="AE312" s="32">
        <f>IF(AQ312="7",BI312,0)</f>
        <v>0</v>
      </c>
      <c r="AF312" s="32">
        <f>IF(AQ312="2",BH312,0)</f>
        <v>0</v>
      </c>
      <c r="AG312" s="32">
        <f>IF(AQ312="2",BI312,0)</f>
        <v>0</v>
      </c>
      <c r="AH312" s="32">
        <f>IF(AQ312="0",BJ312,0)</f>
        <v>0</v>
      </c>
      <c r="AI312" s="28"/>
      <c r="AJ312" s="17">
        <f>IF(AN312=0,K312,0)</f>
        <v>0</v>
      </c>
      <c r="AK312" s="17">
        <f>IF(AN312=15,K312,0)</f>
        <v>0</v>
      </c>
      <c r="AL312" s="17">
        <f>IF(AN312=21,K312,0)</f>
        <v>0</v>
      </c>
      <c r="AN312" s="32">
        <v>21</v>
      </c>
      <c r="AO312" s="32">
        <f>H312*1</f>
        <v>0</v>
      </c>
      <c r="AP312" s="32">
        <f>H312*(1-1)</f>
        <v>0</v>
      </c>
      <c r="AQ312" s="29" t="s">
        <v>13</v>
      </c>
      <c r="AV312" s="32">
        <f>AW312+AX312</f>
        <v>0</v>
      </c>
      <c r="AW312" s="32">
        <f>G312*AO312</f>
        <v>0</v>
      </c>
      <c r="AX312" s="32">
        <f>G312*AP312</f>
        <v>0</v>
      </c>
      <c r="AY312" s="33" t="s">
        <v>876</v>
      </c>
      <c r="AZ312" s="33" t="s">
        <v>892</v>
      </c>
      <c r="BA312" s="28" t="s">
        <v>895</v>
      </c>
      <c r="BC312" s="32">
        <f>AW312+AX312</f>
        <v>0</v>
      </c>
      <c r="BD312" s="32">
        <f>H312/(100-BE312)*100</f>
        <v>0</v>
      </c>
      <c r="BE312" s="32">
        <v>0</v>
      </c>
      <c r="BF312" s="32">
        <f>310</f>
        <v>310</v>
      </c>
      <c r="BH312" s="17">
        <f>G312*AO312</f>
        <v>0</v>
      </c>
      <c r="BI312" s="17">
        <f>G312*AP312</f>
        <v>0</v>
      </c>
      <c r="BJ312" s="17">
        <f>G312*H312</f>
        <v>0</v>
      </c>
    </row>
    <row r="313" spans="1:62" x14ac:dyDescent="0.2">
      <c r="C313" s="58" t="s">
        <v>625</v>
      </c>
      <c r="D313" s="59"/>
      <c r="E313" s="59"/>
      <c r="G313" s="16">
        <v>6</v>
      </c>
    </row>
    <row r="314" spans="1:62" x14ac:dyDescent="0.2">
      <c r="A314" s="6" t="s">
        <v>109</v>
      </c>
      <c r="B314" s="6" t="s">
        <v>280</v>
      </c>
      <c r="C314" s="68" t="s">
        <v>626</v>
      </c>
      <c r="D314" s="69"/>
      <c r="E314" s="69"/>
      <c r="F314" s="6" t="s">
        <v>827</v>
      </c>
      <c r="G314" s="17">
        <v>1</v>
      </c>
      <c r="H314" s="17">
        <v>0</v>
      </c>
      <c r="I314" s="17">
        <f>G314*AO314</f>
        <v>0</v>
      </c>
      <c r="J314" s="17">
        <f>G314*AP314</f>
        <v>0</v>
      </c>
      <c r="K314" s="17">
        <f>G314*H314</f>
        <v>0</v>
      </c>
      <c r="L314" s="29"/>
      <c r="Z314" s="32">
        <f>IF(AQ314="5",BJ314,0)</f>
        <v>0</v>
      </c>
      <c r="AB314" s="32">
        <f>IF(AQ314="1",BH314,0)</f>
        <v>0</v>
      </c>
      <c r="AC314" s="32">
        <f>IF(AQ314="1",BI314,0)</f>
        <v>0</v>
      </c>
      <c r="AD314" s="32">
        <f>IF(AQ314="7",BH314,0)</f>
        <v>0</v>
      </c>
      <c r="AE314" s="32">
        <f>IF(AQ314="7",BI314,0)</f>
        <v>0</v>
      </c>
      <c r="AF314" s="32">
        <f>IF(AQ314="2",BH314,0)</f>
        <v>0</v>
      </c>
      <c r="AG314" s="32">
        <f>IF(AQ314="2",BI314,0)</f>
        <v>0</v>
      </c>
      <c r="AH314" s="32">
        <f>IF(AQ314="0",BJ314,0)</f>
        <v>0</v>
      </c>
      <c r="AI314" s="28"/>
      <c r="AJ314" s="17">
        <f>IF(AN314=0,K314,0)</f>
        <v>0</v>
      </c>
      <c r="AK314" s="17">
        <f>IF(AN314=15,K314,0)</f>
        <v>0</v>
      </c>
      <c r="AL314" s="17">
        <f>IF(AN314=21,K314,0)</f>
        <v>0</v>
      </c>
      <c r="AN314" s="32">
        <v>21</v>
      </c>
      <c r="AO314" s="32">
        <f>H314*1</f>
        <v>0</v>
      </c>
      <c r="AP314" s="32">
        <f>H314*(1-1)</f>
        <v>0</v>
      </c>
      <c r="AQ314" s="29" t="s">
        <v>13</v>
      </c>
      <c r="AV314" s="32">
        <f>AW314+AX314</f>
        <v>0</v>
      </c>
      <c r="AW314" s="32">
        <f>G314*AO314</f>
        <v>0</v>
      </c>
      <c r="AX314" s="32">
        <f>G314*AP314</f>
        <v>0</v>
      </c>
      <c r="AY314" s="33" t="s">
        <v>876</v>
      </c>
      <c r="AZ314" s="33" t="s">
        <v>892</v>
      </c>
      <c r="BA314" s="28" t="s">
        <v>895</v>
      </c>
      <c r="BC314" s="32">
        <f>AW314+AX314</f>
        <v>0</v>
      </c>
      <c r="BD314" s="32">
        <f>H314/(100-BE314)*100</f>
        <v>0</v>
      </c>
      <c r="BE314" s="32">
        <v>0</v>
      </c>
      <c r="BF314" s="32">
        <f>312</f>
        <v>312</v>
      </c>
      <c r="BH314" s="17">
        <f>G314*AO314</f>
        <v>0</v>
      </c>
      <c r="BI314" s="17">
        <f>G314*AP314</f>
        <v>0</v>
      </c>
      <c r="BJ314" s="17">
        <f>G314*H314</f>
        <v>0</v>
      </c>
    </row>
    <row r="315" spans="1:62" x14ac:dyDescent="0.2">
      <c r="C315" s="58" t="s">
        <v>627</v>
      </c>
      <c r="D315" s="59"/>
      <c r="E315" s="59"/>
      <c r="G315" s="16">
        <v>1</v>
      </c>
    </row>
    <row r="316" spans="1:62" x14ac:dyDescent="0.2">
      <c r="A316" s="6" t="s">
        <v>110</v>
      </c>
      <c r="B316" s="6" t="s">
        <v>281</v>
      </c>
      <c r="C316" s="68" t="s">
        <v>628</v>
      </c>
      <c r="D316" s="69"/>
      <c r="E316" s="69"/>
      <c r="F316" s="6" t="s">
        <v>827</v>
      </c>
      <c r="G316" s="17">
        <v>1</v>
      </c>
      <c r="H316" s="17">
        <v>0</v>
      </c>
      <c r="I316" s="17">
        <f>G316*AO316</f>
        <v>0</v>
      </c>
      <c r="J316" s="17">
        <f>G316*AP316</f>
        <v>0</v>
      </c>
      <c r="K316" s="17">
        <f>G316*H316</f>
        <v>0</v>
      </c>
      <c r="L316" s="29"/>
      <c r="Z316" s="32">
        <f>IF(AQ316="5",BJ316,0)</f>
        <v>0</v>
      </c>
      <c r="AB316" s="32">
        <f>IF(AQ316="1",BH316,0)</f>
        <v>0</v>
      </c>
      <c r="AC316" s="32">
        <f>IF(AQ316="1",BI316,0)</f>
        <v>0</v>
      </c>
      <c r="AD316" s="32">
        <f>IF(AQ316="7",BH316,0)</f>
        <v>0</v>
      </c>
      <c r="AE316" s="32">
        <f>IF(AQ316="7",BI316,0)</f>
        <v>0</v>
      </c>
      <c r="AF316" s="32">
        <f>IF(AQ316="2",BH316,0)</f>
        <v>0</v>
      </c>
      <c r="AG316" s="32">
        <f>IF(AQ316="2",BI316,0)</f>
        <v>0</v>
      </c>
      <c r="AH316" s="32">
        <f>IF(AQ316="0",BJ316,0)</f>
        <v>0</v>
      </c>
      <c r="AI316" s="28"/>
      <c r="AJ316" s="17">
        <f>IF(AN316=0,K316,0)</f>
        <v>0</v>
      </c>
      <c r="AK316" s="17">
        <f>IF(AN316=15,K316,0)</f>
        <v>0</v>
      </c>
      <c r="AL316" s="17">
        <f>IF(AN316=21,K316,0)</f>
        <v>0</v>
      </c>
      <c r="AN316" s="32">
        <v>21</v>
      </c>
      <c r="AO316" s="32">
        <f>H316*1</f>
        <v>0</v>
      </c>
      <c r="AP316" s="32">
        <f>H316*(1-1)</f>
        <v>0</v>
      </c>
      <c r="AQ316" s="29" t="s">
        <v>13</v>
      </c>
      <c r="AV316" s="32">
        <f>AW316+AX316</f>
        <v>0</v>
      </c>
      <c r="AW316" s="32">
        <f>G316*AO316</f>
        <v>0</v>
      </c>
      <c r="AX316" s="32">
        <f>G316*AP316</f>
        <v>0</v>
      </c>
      <c r="AY316" s="33" t="s">
        <v>876</v>
      </c>
      <c r="AZ316" s="33" t="s">
        <v>892</v>
      </c>
      <c r="BA316" s="28" t="s">
        <v>895</v>
      </c>
      <c r="BC316" s="32">
        <f>AW316+AX316</f>
        <v>0</v>
      </c>
      <c r="BD316" s="32">
        <f>H316/(100-BE316)*100</f>
        <v>0</v>
      </c>
      <c r="BE316" s="32">
        <v>0</v>
      </c>
      <c r="BF316" s="32">
        <f>314</f>
        <v>314</v>
      </c>
      <c r="BH316" s="17">
        <f>G316*AO316</f>
        <v>0</v>
      </c>
      <c r="BI316" s="17">
        <f>G316*AP316</f>
        <v>0</v>
      </c>
      <c r="BJ316" s="17">
        <f>G316*H316</f>
        <v>0</v>
      </c>
    </row>
    <row r="317" spans="1:62" x14ac:dyDescent="0.2">
      <c r="C317" s="58" t="s">
        <v>629</v>
      </c>
      <c r="D317" s="59"/>
      <c r="E317" s="59"/>
      <c r="G317" s="16">
        <v>1</v>
      </c>
    </row>
    <row r="318" spans="1:62" x14ac:dyDescent="0.2">
      <c r="A318" s="6" t="s">
        <v>111</v>
      </c>
      <c r="B318" s="6" t="s">
        <v>282</v>
      </c>
      <c r="C318" s="68" t="s">
        <v>630</v>
      </c>
      <c r="D318" s="69"/>
      <c r="E318" s="69"/>
      <c r="F318" s="6" t="s">
        <v>827</v>
      </c>
      <c r="G318" s="17">
        <v>1</v>
      </c>
      <c r="H318" s="17">
        <v>0</v>
      </c>
      <c r="I318" s="17">
        <f>G318*AO318</f>
        <v>0</v>
      </c>
      <c r="J318" s="17">
        <f>G318*AP318</f>
        <v>0</v>
      </c>
      <c r="K318" s="17">
        <f>G318*H318</f>
        <v>0</v>
      </c>
      <c r="L318" s="29"/>
      <c r="Z318" s="32">
        <f>IF(AQ318="5",BJ318,0)</f>
        <v>0</v>
      </c>
      <c r="AB318" s="32">
        <f>IF(AQ318="1",BH318,0)</f>
        <v>0</v>
      </c>
      <c r="AC318" s="32">
        <f>IF(AQ318="1",BI318,0)</f>
        <v>0</v>
      </c>
      <c r="AD318" s="32">
        <f>IF(AQ318="7",BH318,0)</f>
        <v>0</v>
      </c>
      <c r="AE318" s="32">
        <f>IF(AQ318="7",BI318,0)</f>
        <v>0</v>
      </c>
      <c r="AF318" s="32">
        <f>IF(AQ318="2",BH318,0)</f>
        <v>0</v>
      </c>
      <c r="AG318" s="32">
        <f>IF(AQ318="2",BI318,0)</f>
        <v>0</v>
      </c>
      <c r="AH318" s="32">
        <f>IF(AQ318="0",BJ318,0)</f>
        <v>0</v>
      </c>
      <c r="AI318" s="28"/>
      <c r="AJ318" s="17">
        <f>IF(AN318=0,K318,0)</f>
        <v>0</v>
      </c>
      <c r="AK318" s="17">
        <f>IF(AN318=15,K318,0)</f>
        <v>0</v>
      </c>
      <c r="AL318" s="17">
        <f>IF(AN318=21,K318,0)</f>
        <v>0</v>
      </c>
      <c r="AN318" s="32">
        <v>21</v>
      </c>
      <c r="AO318" s="32">
        <f>H318*1</f>
        <v>0</v>
      </c>
      <c r="AP318" s="32">
        <f>H318*(1-1)</f>
        <v>0</v>
      </c>
      <c r="AQ318" s="29" t="s">
        <v>13</v>
      </c>
      <c r="AV318" s="32">
        <f>AW318+AX318</f>
        <v>0</v>
      </c>
      <c r="AW318" s="32">
        <f>G318*AO318</f>
        <v>0</v>
      </c>
      <c r="AX318" s="32">
        <f>G318*AP318</f>
        <v>0</v>
      </c>
      <c r="AY318" s="33" t="s">
        <v>876</v>
      </c>
      <c r="AZ318" s="33" t="s">
        <v>892</v>
      </c>
      <c r="BA318" s="28" t="s">
        <v>895</v>
      </c>
      <c r="BC318" s="32">
        <f>AW318+AX318</f>
        <v>0</v>
      </c>
      <c r="BD318" s="32">
        <f>H318/(100-BE318)*100</f>
        <v>0</v>
      </c>
      <c r="BE318" s="32">
        <v>0</v>
      </c>
      <c r="BF318" s="32">
        <f>316</f>
        <v>316</v>
      </c>
      <c r="BH318" s="17">
        <f>G318*AO318</f>
        <v>0</v>
      </c>
      <c r="BI318" s="17">
        <f>G318*AP318</f>
        <v>0</v>
      </c>
      <c r="BJ318" s="17">
        <f>G318*H318</f>
        <v>0</v>
      </c>
    </row>
    <row r="319" spans="1:62" x14ac:dyDescent="0.2">
      <c r="C319" s="58" t="s">
        <v>631</v>
      </c>
      <c r="D319" s="59"/>
      <c r="E319" s="59"/>
      <c r="G319" s="16">
        <v>1</v>
      </c>
    </row>
    <row r="320" spans="1:62" x14ac:dyDescent="0.2">
      <c r="A320" s="6" t="s">
        <v>112</v>
      </c>
      <c r="B320" s="6" t="s">
        <v>283</v>
      </c>
      <c r="C320" s="68" t="s">
        <v>632</v>
      </c>
      <c r="D320" s="69"/>
      <c r="E320" s="69"/>
      <c r="F320" s="6" t="s">
        <v>827</v>
      </c>
      <c r="G320" s="17">
        <v>5</v>
      </c>
      <c r="H320" s="17">
        <v>0</v>
      </c>
      <c r="I320" s="17">
        <f>G320*AO320</f>
        <v>0</v>
      </c>
      <c r="J320" s="17">
        <f>G320*AP320</f>
        <v>0</v>
      </c>
      <c r="K320" s="17">
        <f>G320*H320</f>
        <v>0</v>
      </c>
      <c r="L320" s="29"/>
      <c r="Z320" s="32">
        <f>IF(AQ320="5",BJ320,0)</f>
        <v>0</v>
      </c>
      <c r="AB320" s="32">
        <f>IF(AQ320="1",BH320,0)</f>
        <v>0</v>
      </c>
      <c r="AC320" s="32">
        <f>IF(AQ320="1",BI320,0)</f>
        <v>0</v>
      </c>
      <c r="AD320" s="32">
        <f>IF(AQ320="7",BH320,0)</f>
        <v>0</v>
      </c>
      <c r="AE320" s="32">
        <f>IF(AQ320="7",BI320,0)</f>
        <v>0</v>
      </c>
      <c r="AF320" s="32">
        <f>IF(AQ320="2",BH320,0)</f>
        <v>0</v>
      </c>
      <c r="AG320" s="32">
        <f>IF(AQ320="2",BI320,0)</f>
        <v>0</v>
      </c>
      <c r="AH320" s="32">
        <f>IF(AQ320="0",BJ320,0)</f>
        <v>0</v>
      </c>
      <c r="AI320" s="28"/>
      <c r="AJ320" s="17">
        <f>IF(AN320=0,K320,0)</f>
        <v>0</v>
      </c>
      <c r="AK320" s="17">
        <f>IF(AN320=15,K320,0)</f>
        <v>0</v>
      </c>
      <c r="AL320" s="17">
        <f>IF(AN320=21,K320,0)</f>
        <v>0</v>
      </c>
      <c r="AN320" s="32">
        <v>21</v>
      </c>
      <c r="AO320" s="32">
        <f>H320*1</f>
        <v>0</v>
      </c>
      <c r="AP320" s="32">
        <f>H320*(1-1)</f>
        <v>0</v>
      </c>
      <c r="AQ320" s="29" t="s">
        <v>13</v>
      </c>
      <c r="AV320" s="32">
        <f>AW320+AX320</f>
        <v>0</v>
      </c>
      <c r="AW320" s="32">
        <f>G320*AO320</f>
        <v>0</v>
      </c>
      <c r="AX320" s="32">
        <f>G320*AP320</f>
        <v>0</v>
      </c>
      <c r="AY320" s="33" t="s">
        <v>876</v>
      </c>
      <c r="AZ320" s="33" t="s">
        <v>892</v>
      </c>
      <c r="BA320" s="28" t="s">
        <v>895</v>
      </c>
      <c r="BC320" s="32">
        <f>AW320+AX320</f>
        <v>0</v>
      </c>
      <c r="BD320" s="32">
        <f>H320/(100-BE320)*100</f>
        <v>0</v>
      </c>
      <c r="BE320" s="32">
        <v>0</v>
      </c>
      <c r="BF320" s="32">
        <f>318</f>
        <v>318</v>
      </c>
      <c r="BH320" s="17">
        <f>G320*AO320</f>
        <v>0</v>
      </c>
      <c r="BI320" s="17">
        <f>G320*AP320</f>
        <v>0</v>
      </c>
      <c r="BJ320" s="17">
        <f>G320*H320</f>
        <v>0</v>
      </c>
    </row>
    <row r="321" spans="1:62" x14ac:dyDescent="0.2">
      <c r="C321" s="58" t="s">
        <v>633</v>
      </c>
      <c r="D321" s="59"/>
      <c r="E321" s="59"/>
      <c r="G321" s="16">
        <v>5</v>
      </c>
    </row>
    <row r="322" spans="1:62" x14ac:dyDescent="0.2">
      <c r="A322" s="4" t="s">
        <v>113</v>
      </c>
      <c r="B322" s="4" t="s">
        <v>284</v>
      </c>
      <c r="C322" s="56" t="s">
        <v>634</v>
      </c>
      <c r="D322" s="57"/>
      <c r="E322" s="57"/>
      <c r="F322" s="4" t="s">
        <v>828</v>
      </c>
      <c r="G322" s="15">
        <v>15.488</v>
      </c>
      <c r="H322" s="15">
        <v>0</v>
      </c>
      <c r="I322" s="15">
        <f>G322*AO322</f>
        <v>0</v>
      </c>
      <c r="J322" s="15">
        <f>G322*AP322</f>
        <v>0</v>
      </c>
      <c r="K322" s="15">
        <f>G322*H322</f>
        <v>0</v>
      </c>
      <c r="L322" s="27" t="s">
        <v>846</v>
      </c>
      <c r="Z322" s="32">
        <f>IF(AQ322="5",BJ322,0)</f>
        <v>0</v>
      </c>
      <c r="AB322" s="32">
        <f>IF(AQ322="1",BH322,0)</f>
        <v>0</v>
      </c>
      <c r="AC322" s="32">
        <f>IF(AQ322="1",BI322,0)</f>
        <v>0</v>
      </c>
      <c r="AD322" s="32">
        <f>IF(AQ322="7",BH322,0)</f>
        <v>0</v>
      </c>
      <c r="AE322" s="32">
        <f>IF(AQ322="7",BI322,0)</f>
        <v>0</v>
      </c>
      <c r="AF322" s="32">
        <f>IF(AQ322="2",BH322,0)</f>
        <v>0</v>
      </c>
      <c r="AG322" s="32">
        <f>IF(AQ322="2",BI322,0)</f>
        <v>0</v>
      </c>
      <c r="AH322" s="32">
        <f>IF(AQ322="0",BJ322,0)</f>
        <v>0</v>
      </c>
      <c r="AI322" s="28"/>
      <c r="AJ322" s="15">
        <f>IF(AN322=0,K322,0)</f>
        <v>0</v>
      </c>
      <c r="AK322" s="15">
        <f>IF(AN322=15,K322,0)</f>
        <v>0</v>
      </c>
      <c r="AL322" s="15">
        <f>IF(AN322=21,K322,0)</f>
        <v>0</v>
      </c>
      <c r="AN322" s="32">
        <v>21</v>
      </c>
      <c r="AO322" s="32">
        <f>H322*0</f>
        <v>0</v>
      </c>
      <c r="AP322" s="32">
        <f>H322*(1-0)</f>
        <v>0</v>
      </c>
      <c r="AQ322" s="27" t="s">
        <v>11</v>
      </c>
      <c r="AV322" s="32">
        <f>AW322+AX322</f>
        <v>0</v>
      </c>
      <c r="AW322" s="32">
        <f>G322*AO322</f>
        <v>0</v>
      </c>
      <c r="AX322" s="32">
        <f>G322*AP322</f>
        <v>0</v>
      </c>
      <c r="AY322" s="33" t="s">
        <v>876</v>
      </c>
      <c r="AZ322" s="33" t="s">
        <v>892</v>
      </c>
      <c r="BA322" s="28" t="s">
        <v>895</v>
      </c>
      <c r="BC322" s="32">
        <f>AW322+AX322</f>
        <v>0</v>
      </c>
      <c r="BD322" s="32">
        <f>H322/(100-BE322)*100</f>
        <v>0</v>
      </c>
      <c r="BE322" s="32">
        <v>0</v>
      </c>
      <c r="BF322" s="32">
        <f>320</f>
        <v>320</v>
      </c>
      <c r="BH322" s="15">
        <f>G322*AO322</f>
        <v>0</v>
      </c>
      <c r="BI322" s="15">
        <f>G322*AP322</f>
        <v>0</v>
      </c>
      <c r="BJ322" s="15">
        <f>G322*H322</f>
        <v>0</v>
      </c>
    </row>
    <row r="323" spans="1:62" x14ac:dyDescent="0.2">
      <c r="C323" s="58" t="s">
        <v>635</v>
      </c>
      <c r="D323" s="59"/>
      <c r="E323" s="59"/>
      <c r="G323" s="16">
        <v>15.488</v>
      </c>
    </row>
    <row r="324" spans="1:62" x14ac:dyDescent="0.2">
      <c r="A324" s="5"/>
      <c r="B324" s="13" t="s">
        <v>285</v>
      </c>
      <c r="C324" s="66" t="s">
        <v>636</v>
      </c>
      <c r="D324" s="67"/>
      <c r="E324" s="67"/>
      <c r="F324" s="5" t="s">
        <v>6</v>
      </c>
      <c r="G324" s="5" t="s">
        <v>6</v>
      </c>
      <c r="H324" s="5" t="s">
        <v>6</v>
      </c>
      <c r="I324" s="35">
        <f>SUM(I325:I327)</f>
        <v>0</v>
      </c>
      <c r="J324" s="35">
        <f>SUM(J325:J327)</f>
        <v>0</v>
      </c>
      <c r="K324" s="35">
        <f>SUM(K325:K327)</f>
        <v>0</v>
      </c>
      <c r="L324" s="28"/>
      <c r="AI324" s="28"/>
      <c r="AS324" s="35">
        <f>SUM(AJ325:AJ327)</f>
        <v>0</v>
      </c>
      <c r="AT324" s="35">
        <f>SUM(AK325:AK327)</f>
        <v>0</v>
      </c>
      <c r="AU324" s="35">
        <f>SUM(AL325:AL327)</f>
        <v>0</v>
      </c>
    </row>
    <row r="325" spans="1:62" x14ac:dyDescent="0.2">
      <c r="A325" s="4" t="s">
        <v>114</v>
      </c>
      <c r="B325" s="4" t="s">
        <v>286</v>
      </c>
      <c r="C325" s="56" t="s">
        <v>637</v>
      </c>
      <c r="D325" s="57"/>
      <c r="E325" s="57"/>
      <c r="F325" s="4" t="s">
        <v>827</v>
      </c>
      <c r="G325" s="15">
        <v>1</v>
      </c>
      <c r="H325" s="15">
        <v>0</v>
      </c>
      <c r="I325" s="15">
        <f>G325*AO325</f>
        <v>0</v>
      </c>
      <c r="J325" s="15">
        <f>G325*AP325</f>
        <v>0</v>
      </c>
      <c r="K325" s="15">
        <f>G325*H325</f>
        <v>0</v>
      </c>
      <c r="L325" s="27"/>
      <c r="Z325" s="32">
        <f>IF(AQ325="5",BJ325,0)</f>
        <v>0</v>
      </c>
      <c r="AB325" s="32">
        <f>IF(AQ325="1",BH325,0)</f>
        <v>0</v>
      </c>
      <c r="AC325" s="32">
        <f>IF(AQ325="1",BI325,0)</f>
        <v>0</v>
      </c>
      <c r="AD325" s="32">
        <f>IF(AQ325="7",BH325,0)</f>
        <v>0</v>
      </c>
      <c r="AE325" s="32">
        <f>IF(AQ325="7",BI325,0)</f>
        <v>0</v>
      </c>
      <c r="AF325" s="32">
        <f>IF(AQ325="2",BH325,0)</f>
        <v>0</v>
      </c>
      <c r="AG325" s="32">
        <f>IF(AQ325="2",BI325,0)</f>
        <v>0</v>
      </c>
      <c r="AH325" s="32">
        <f>IF(AQ325="0",BJ325,0)</f>
        <v>0</v>
      </c>
      <c r="AI325" s="28"/>
      <c r="AJ325" s="15">
        <f>IF(AN325=0,K325,0)</f>
        <v>0</v>
      </c>
      <c r="AK325" s="15">
        <f>IF(AN325=15,K325,0)</f>
        <v>0</v>
      </c>
      <c r="AL325" s="15">
        <f>IF(AN325=21,K325,0)</f>
        <v>0</v>
      </c>
      <c r="AN325" s="32">
        <v>21</v>
      </c>
      <c r="AO325" s="32">
        <f>H325*0.75</f>
        <v>0</v>
      </c>
      <c r="AP325" s="32">
        <f>H325*(1-0.75)</f>
        <v>0</v>
      </c>
      <c r="AQ325" s="27" t="s">
        <v>13</v>
      </c>
      <c r="AV325" s="32">
        <f>AW325+AX325</f>
        <v>0</v>
      </c>
      <c r="AW325" s="32">
        <f>G325*AO325</f>
        <v>0</v>
      </c>
      <c r="AX325" s="32">
        <f>G325*AP325</f>
        <v>0</v>
      </c>
      <c r="AY325" s="33" t="s">
        <v>877</v>
      </c>
      <c r="AZ325" s="33" t="s">
        <v>892</v>
      </c>
      <c r="BA325" s="28" t="s">
        <v>895</v>
      </c>
      <c r="BC325" s="32">
        <f>AW325+AX325</f>
        <v>0</v>
      </c>
      <c r="BD325" s="32">
        <f>H325/(100-BE325)*100</f>
        <v>0</v>
      </c>
      <c r="BE325" s="32">
        <v>0</v>
      </c>
      <c r="BF325" s="32">
        <f>323</f>
        <v>323</v>
      </c>
      <c r="BH325" s="15">
        <f>G325*AO325</f>
        <v>0</v>
      </c>
      <c r="BI325" s="15">
        <f>G325*AP325</f>
        <v>0</v>
      </c>
      <c r="BJ325" s="15">
        <f>G325*H325</f>
        <v>0</v>
      </c>
    </row>
    <row r="326" spans="1:62" x14ac:dyDescent="0.2">
      <c r="C326" s="58" t="s">
        <v>638</v>
      </c>
      <c r="D326" s="59"/>
      <c r="E326" s="59"/>
      <c r="G326" s="16">
        <v>1</v>
      </c>
    </row>
    <row r="327" spans="1:62" x14ac:dyDescent="0.2">
      <c r="A327" s="4" t="s">
        <v>115</v>
      </c>
      <c r="B327" s="4" t="s">
        <v>287</v>
      </c>
      <c r="C327" s="56" t="s">
        <v>639</v>
      </c>
      <c r="D327" s="57"/>
      <c r="E327" s="57"/>
      <c r="F327" s="4" t="s">
        <v>828</v>
      </c>
      <c r="G327" s="15">
        <v>0.05</v>
      </c>
      <c r="H327" s="15">
        <v>0</v>
      </c>
      <c r="I327" s="15">
        <f>G327*AO327</f>
        <v>0</v>
      </c>
      <c r="J327" s="15">
        <f>G327*AP327</f>
        <v>0</v>
      </c>
      <c r="K327" s="15">
        <f>G327*H327</f>
        <v>0</v>
      </c>
      <c r="L327" s="27" t="s">
        <v>846</v>
      </c>
      <c r="Z327" s="32">
        <f>IF(AQ327="5",BJ327,0)</f>
        <v>0</v>
      </c>
      <c r="AB327" s="32">
        <f>IF(AQ327="1",BH327,0)</f>
        <v>0</v>
      </c>
      <c r="AC327" s="32">
        <f>IF(AQ327="1",BI327,0)</f>
        <v>0</v>
      </c>
      <c r="AD327" s="32">
        <f>IF(AQ327="7",BH327,0)</f>
        <v>0</v>
      </c>
      <c r="AE327" s="32">
        <f>IF(AQ327="7",BI327,0)</f>
        <v>0</v>
      </c>
      <c r="AF327" s="32">
        <f>IF(AQ327="2",BH327,0)</f>
        <v>0</v>
      </c>
      <c r="AG327" s="32">
        <f>IF(AQ327="2",BI327,0)</f>
        <v>0</v>
      </c>
      <c r="AH327" s="32">
        <f>IF(AQ327="0",BJ327,0)</f>
        <v>0</v>
      </c>
      <c r="AI327" s="28"/>
      <c r="AJ327" s="15">
        <f>IF(AN327=0,K327,0)</f>
        <v>0</v>
      </c>
      <c r="AK327" s="15">
        <f>IF(AN327=15,K327,0)</f>
        <v>0</v>
      </c>
      <c r="AL327" s="15">
        <f>IF(AN327=21,K327,0)</f>
        <v>0</v>
      </c>
      <c r="AN327" s="32">
        <v>21</v>
      </c>
      <c r="AO327" s="32">
        <f>H327*0</f>
        <v>0</v>
      </c>
      <c r="AP327" s="32">
        <f>H327*(1-0)</f>
        <v>0</v>
      </c>
      <c r="AQ327" s="27" t="s">
        <v>11</v>
      </c>
      <c r="AV327" s="32">
        <f>AW327+AX327</f>
        <v>0</v>
      </c>
      <c r="AW327" s="32">
        <f>G327*AO327</f>
        <v>0</v>
      </c>
      <c r="AX327" s="32">
        <f>G327*AP327</f>
        <v>0</v>
      </c>
      <c r="AY327" s="33" t="s">
        <v>877</v>
      </c>
      <c r="AZ327" s="33" t="s">
        <v>892</v>
      </c>
      <c r="BA327" s="28" t="s">
        <v>895</v>
      </c>
      <c r="BC327" s="32">
        <f>AW327+AX327</f>
        <v>0</v>
      </c>
      <c r="BD327" s="32">
        <f>H327/(100-BE327)*100</f>
        <v>0</v>
      </c>
      <c r="BE327" s="32">
        <v>0</v>
      </c>
      <c r="BF327" s="32">
        <f>325</f>
        <v>325</v>
      </c>
      <c r="BH327" s="15">
        <f>G327*AO327</f>
        <v>0</v>
      </c>
      <c r="BI327" s="15">
        <f>G327*AP327</f>
        <v>0</v>
      </c>
      <c r="BJ327" s="15">
        <f>G327*H327</f>
        <v>0</v>
      </c>
    </row>
    <row r="328" spans="1:62" x14ac:dyDescent="0.2">
      <c r="C328" s="58" t="s">
        <v>640</v>
      </c>
      <c r="D328" s="59"/>
      <c r="E328" s="59"/>
      <c r="G328" s="16">
        <v>0.05</v>
      </c>
    </row>
    <row r="329" spans="1:62" x14ac:dyDescent="0.2">
      <c r="A329" s="5"/>
      <c r="B329" s="13" t="s">
        <v>288</v>
      </c>
      <c r="C329" s="66" t="s">
        <v>641</v>
      </c>
      <c r="D329" s="67"/>
      <c r="E329" s="67"/>
      <c r="F329" s="5" t="s">
        <v>6</v>
      </c>
      <c r="G329" s="5" t="s">
        <v>6</v>
      </c>
      <c r="H329" s="5" t="s">
        <v>6</v>
      </c>
      <c r="I329" s="35">
        <f>SUM(I330:I332)</f>
        <v>0</v>
      </c>
      <c r="J329" s="35">
        <f>SUM(J330:J332)</f>
        <v>0</v>
      </c>
      <c r="K329" s="35">
        <f>SUM(K330:K332)</f>
        <v>0</v>
      </c>
      <c r="L329" s="28"/>
      <c r="AI329" s="28"/>
      <c r="AS329" s="35">
        <f>SUM(AJ330:AJ332)</f>
        <v>0</v>
      </c>
      <c r="AT329" s="35">
        <f>SUM(AK330:AK332)</f>
        <v>0</v>
      </c>
      <c r="AU329" s="35">
        <f>SUM(AL330:AL332)</f>
        <v>0</v>
      </c>
    </row>
    <row r="330" spans="1:62" x14ac:dyDescent="0.2">
      <c r="A330" s="4" t="s">
        <v>116</v>
      </c>
      <c r="B330" s="4" t="s">
        <v>289</v>
      </c>
      <c r="C330" s="56" t="s">
        <v>642</v>
      </c>
      <c r="D330" s="57"/>
      <c r="E330" s="57"/>
      <c r="F330" s="4" t="s">
        <v>823</v>
      </c>
      <c r="G330" s="15">
        <v>398.93700000000001</v>
      </c>
      <c r="H330" s="15">
        <v>0</v>
      </c>
      <c r="I330" s="15">
        <f>G330*AO330</f>
        <v>0</v>
      </c>
      <c r="J330" s="15">
        <f>G330*AP330</f>
        <v>0</v>
      </c>
      <c r="K330" s="15">
        <f>G330*H330</f>
        <v>0</v>
      </c>
      <c r="L330" s="27" t="s">
        <v>846</v>
      </c>
      <c r="Z330" s="32">
        <f>IF(AQ330="5",BJ330,0)</f>
        <v>0</v>
      </c>
      <c r="AB330" s="32">
        <f>IF(AQ330="1",BH330,0)</f>
        <v>0</v>
      </c>
      <c r="AC330" s="32">
        <f>IF(AQ330="1",BI330,0)</f>
        <v>0</v>
      </c>
      <c r="AD330" s="32">
        <f>IF(AQ330="7",BH330,0)</f>
        <v>0</v>
      </c>
      <c r="AE330" s="32">
        <f>IF(AQ330="7",BI330,0)</f>
        <v>0</v>
      </c>
      <c r="AF330" s="32">
        <f>IF(AQ330="2",BH330,0)</f>
        <v>0</v>
      </c>
      <c r="AG330" s="32">
        <f>IF(AQ330="2",BI330,0)</f>
        <v>0</v>
      </c>
      <c r="AH330" s="32">
        <f>IF(AQ330="0",BJ330,0)</f>
        <v>0</v>
      </c>
      <c r="AI330" s="28"/>
      <c r="AJ330" s="15">
        <f>IF(AN330=0,K330,0)</f>
        <v>0</v>
      </c>
      <c r="AK330" s="15">
        <f>IF(AN330=15,K330,0)</f>
        <v>0</v>
      </c>
      <c r="AL330" s="15">
        <f>IF(AN330=21,K330,0)</f>
        <v>0</v>
      </c>
      <c r="AN330" s="32">
        <v>21</v>
      </c>
      <c r="AO330" s="32">
        <f>H330*0.0673956299370145</f>
        <v>0</v>
      </c>
      <c r="AP330" s="32">
        <f>H330*(1-0.0673956299370145)</f>
        <v>0</v>
      </c>
      <c r="AQ330" s="27" t="s">
        <v>13</v>
      </c>
      <c r="AV330" s="32">
        <f>AW330+AX330</f>
        <v>0</v>
      </c>
      <c r="AW330" s="32">
        <f>G330*AO330</f>
        <v>0</v>
      </c>
      <c r="AX330" s="32">
        <f>G330*AP330</f>
        <v>0</v>
      </c>
      <c r="AY330" s="33" t="s">
        <v>878</v>
      </c>
      <c r="AZ330" s="33" t="s">
        <v>893</v>
      </c>
      <c r="BA330" s="28" t="s">
        <v>895</v>
      </c>
      <c r="BC330" s="32">
        <f>AW330+AX330</f>
        <v>0</v>
      </c>
      <c r="BD330" s="32">
        <f>H330/(100-BE330)*100</f>
        <v>0</v>
      </c>
      <c r="BE330" s="32">
        <v>0</v>
      </c>
      <c r="BF330" s="32">
        <f>328</f>
        <v>328</v>
      </c>
      <c r="BH330" s="15">
        <f>G330*AO330</f>
        <v>0</v>
      </c>
      <c r="BI330" s="15">
        <f>G330*AP330</f>
        <v>0</v>
      </c>
      <c r="BJ330" s="15">
        <f>G330*H330</f>
        <v>0</v>
      </c>
    </row>
    <row r="331" spans="1:62" x14ac:dyDescent="0.2">
      <c r="C331" s="58" t="s">
        <v>643</v>
      </c>
      <c r="D331" s="59"/>
      <c r="E331" s="59"/>
      <c r="G331" s="16">
        <v>398.93700000000001</v>
      </c>
    </row>
    <row r="332" spans="1:62" x14ac:dyDescent="0.2">
      <c r="A332" s="4" t="s">
        <v>117</v>
      </c>
      <c r="B332" s="4" t="s">
        <v>290</v>
      </c>
      <c r="C332" s="56" t="s">
        <v>644</v>
      </c>
      <c r="D332" s="57"/>
      <c r="E332" s="57"/>
      <c r="F332" s="4" t="s">
        <v>823</v>
      </c>
      <c r="G332" s="15">
        <v>350.48500000000001</v>
      </c>
      <c r="H332" s="15">
        <v>0</v>
      </c>
      <c r="I332" s="15">
        <f>G332*AO332</f>
        <v>0</v>
      </c>
      <c r="J332" s="15">
        <f>G332*AP332</f>
        <v>0</v>
      </c>
      <c r="K332" s="15">
        <f>G332*H332</f>
        <v>0</v>
      </c>
      <c r="L332" s="27" t="s">
        <v>846</v>
      </c>
      <c r="Z332" s="32">
        <f>IF(AQ332="5",BJ332,0)</f>
        <v>0</v>
      </c>
      <c r="AB332" s="32">
        <f>IF(AQ332="1",BH332,0)</f>
        <v>0</v>
      </c>
      <c r="AC332" s="32">
        <f>IF(AQ332="1",BI332,0)</f>
        <v>0</v>
      </c>
      <c r="AD332" s="32">
        <f>IF(AQ332="7",BH332,0)</f>
        <v>0</v>
      </c>
      <c r="AE332" s="32">
        <f>IF(AQ332="7",BI332,0)</f>
        <v>0</v>
      </c>
      <c r="AF332" s="32">
        <f>IF(AQ332="2",BH332,0)</f>
        <v>0</v>
      </c>
      <c r="AG332" s="32">
        <f>IF(AQ332="2",BI332,0)</f>
        <v>0</v>
      </c>
      <c r="AH332" s="32">
        <f>IF(AQ332="0",BJ332,0)</f>
        <v>0</v>
      </c>
      <c r="AI332" s="28"/>
      <c r="AJ332" s="15">
        <f>IF(AN332=0,K332,0)</f>
        <v>0</v>
      </c>
      <c r="AK332" s="15">
        <f>IF(AN332=15,K332,0)</f>
        <v>0</v>
      </c>
      <c r="AL332" s="15">
        <f>IF(AN332=21,K332,0)</f>
        <v>0</v>
      </c>
      <c r="AN332" s="32">
        <v>21</v>
      </c>
      <c r="AO332" s="32">
        <f>H332*0.174902978648327</f>
        <v>0</v>
      </c>
      <c r="AP332" s="32">
        <f>H332*(1-0.174902978648327)</f>
        <v>0</v>
      </c>
      <c r="AQ332" s="27" t="s">
        <v>13</v>
      </c>
      <c r="AV332" s="32">
        <f>AW332+AX332</f>
        <v>0</v>
      </c>
      <c r="AW332" s="32">
        <f>G332*AO332</f>
        <v>0</v>
      </c>
      <c r="AX332" s="32">
        <f>G332*AP332</f>
        <v>0</v>
      </c>
      <c r="AY332" s="33" t="s">
        <v>878</v>
      </c>
      <c r="AZ332" s="33" t="s">
        <v>893</v>
      </c>
      <c r="BA332" s="28" t="s">
        <v>895</v>
      </c>
      <c r="BC332" s="32">
        <f>AW332+AX332</f>
        <v>0</v>
      </c>
      <c r="BD332" s="32">
        <f>H332/(100-BE332)*100</f>
        <v>0</v>
      </c>
      <c r="BE332" s="32">
        <v>0</v>
      </c>
      <c r="BF332" s="32">
        <f>330</f>
        <v>330</v>
      </c>
      <c r="BH332" s="15">
        <f>G332*AO332</f>
        <v>0</v>
      </c>
      <c r="BI332" s="15">
        <f>G332*AP332</f>
        <v>0</v>
      </c>
      <c r="BJ332" s="15">
        <f>G332*H332</f>
        <v>0</v>
      </c>
    </row>
    <row r="333" spans="1:62" x14ac:dyDescent="0.2">
      <c r="C333" s="58" t="s">
        <v>645</v>
      </c>
      <c r="D333" s="59"/>
      <c r="E333" s="59"/>
      <c r="G333" s="16">
        <v>11.61</v>
      </c>
    </row>
    <row r="334" spans="1:62" x14ac:dyDescent="0.2">
      <c r="C334" s="58" t="s">
        <v>646</v>
      </c>
      <c r="D334" s="59"/>
      <c r="E334" s="59"/>
      <c r="G334" s="16">
        <v>22.7</v>
      </c>
    </row>
    <row r="335" spans="1:62" x14ac:dyDescent="0.2">
      <c r="C335" s="58" t="s">
        <v>647</v>
      </c>
      <c r="D335" s="59"/>
      <c r="E335" s="59"/>
      <c r="G335" s="16">
        <v>16.899999999999999</v>
      </c>
    </row>
    <row r="336" spans="1:62" x14ac:dyDescent="0.2">
      <c r="C336" s="58" t="s">
        <v>648</v>
      </c>
      <c r="D336" s="59"/>
      <c r="E336" s="59"/>
      <c r="G336" s="16">
        <v>40.865000000000002</v>
      </c>
    </row>
    <row r="337" spans="3:7" x14ac:dyDescent="0.2">
      <c r="C337" s="58" t="s">
        <v>649</v>
      </c>
      <c r="D337" s="59"/>
      <c r="E337" s="59"/>
      <c r="G337" s="16">
        <v>0</v>
      </c>
    </row>
    <row r="338" spans="3:7" x14ac:dyDescent="0.2">
      <c r="C338" s="58" t="s">
        <v>650</v>
      </c>
      <c r="D338" s="59"/>
      <c r="E338" s="59"/>
      <c r="G338" s="16">
        <v>11.42</v>
      </c>
    </row>
    <row r="339" spans="3:7" x14ac:dyDescent="0.2">
      <c r="C339" s="58" t="s">
        <v>651</v>
      </c>
      <c r="D339" s="59"/>
      <c r="E339" s="59"/>
      <c r="G339" s="16">
        <v>15.1</v>
      </c>
    </row>
    <row r="340" spans="3:7" x14ac:dyDescent="0.2">
      <c r="C340" s="58" t="s">
        <v>652</v>
      </c>
      <c r="D340" s="59"/>
      <c r="E340" s="59"/>
      <c r="G340" s="16">
        <v>23.434999999999999</v>
      </c>
    </row>
    <row r="341" spans="3:7" x14ac:dyDescent="0.2">
      <c r="C341" s="58" t="s">
        <v>653</v>
      </c>
      <c r="D341" s="59"/>
      <c r="E341" s="59"/>
      <c r="G341" s="16">
        <v>15.33</v>
      </c>
    </row>
    <row r="342" spans="3:7" x14ac:dyDescent="0.2">
      <c r="C342" s="58" t="s">
        <v>654</v>
      </c>
      <c r="D342" s="59"/>
      <c r="E342" s="59"/>
      <c r="G342" s="16">
        <v>10.725</v>
      </c>
    </row>
    <row r="343" spans="3:7" x14ac:dyDescent="0.2">
      <c r="C343" s="58" t="s">
        <v>655</v>
      </c>
      <c r="D343" s="59"/>
      <c r="E343" s="59"/>
      <c r="G343" s="16">
        <v>15.63</v>
      </c>
    </row>
    <row r="344" spans="3:7" x14ac:dyDescent="0.2">
      <c r="C344" s="58" t="s">
        <v>656</v>
      </c>
      <c r="D344" s="59"/>
      <c r="E344" s="59"/>
      <c r="G344" s="16">
        <v>18.375</v>
      </c>
    </row>
    <row r="345" spans="3:7" x14ac:dyDescent="0.2">
      <c r="C345" s="58" t="s">
        <v>657</v>
      </c>
      <c r="D345" s="59"/>
      <c r="E345" s="59"/>
      <c r="G345" s="16">
        <v>7.7549999999999999</v>
      </c>
    </row>
    <row r="346" spans="3:7" x14ac:dyDescent="0.2">
      <c r="C346" s="58" t="s">
        <v>658</v>
      </c>
      <c r="D346" s="59"/>
      <c r="E346" s="59"/>
      <c r="G346" s="16">
        <v>0</v>
      </c>
    </row>
    <row r="347" spans="3:7" x14ac:dyDescent="0.2">
      <c r="C347" s="58" t="s">
        <v>659</v>
      </c>
      <c r="D347" s="59"/>
      <c r="E347" s="59"/>
      <c r="G347" s="16">
        <v>11.494999999999999</v>
      </c>
    </row>
    <row r="348" spans="3:7" x14ac:dyDescent="0.2">
      <c r="C348" s="58" t="s">
        <v>660</v>
      </c>
      <c r="D348" s="59"/>
      <c r="E348" s="59"/>
      <c r="G348" s="16">
        <v>11.955</v>
      </c>
    </row>
    <row r="349" spans="3:7" x14ac:dyDescent="0.2">
      <c r="C349" s="58" t="s">
        <v>661</v>
      </c>
      <c r="D349" s="59"/>
      <c r="E349" s="59"/>
      <c r="G349" s="16">
        <v>17.36</v>
      </c>
    </row>
    <row r="350" spans="3:7" x14ac:dyDescent="0.2">
      <c r="C350" s="58" t="s">
        <v>662</v>
      </c>
      <c r="D350" s="59"/>
      <c r="E350" s="59"/>
      <c r="G350" s="16">
        <v>28.96</v>
      </c>
    </row>
    <row r="351" spans="3:7" x14ac:dyDescent="0.2">
      <c r="C351" s="58" t="s">
        <v>663</v>
      </c>
      <c r="D351" s="59"/>
      <c r="E351" s="59"/>
      <c r="G351" s="16">
        <v>11.79</v>
      </c>
    </row>
    <row r="352" spans="3:7" x14ac:dyDescent="0.2">
      <c r="C352" s="58" t="s">
        <v>664</v>
      </c>
      <c r="D352" s="59"/>
      <c r="E352" s="59"/>
      <c r="G352" s="16">
        <v>40.6</v>
      </c>
    </row>
    <row r="353" spans="1:62" x14ac:dyDescent="0.2">
      <c r="C353" s="58" t="s">
        <v>665</v>
      </c>
      <c r="D353" s="59"/>
      <c r="E353" s="59"/>
      <c r="G353" s="16">
        <v>18.48</v>
      </c>
    </row>
    <row r="354" spans="1:62" x14ac:dyDescent="0.2">
      <c r="C354" s="58" t="s">
        <v>666</v>
      </c>
      <c r="D354" s="59"/>
      <c r="E354" s="59"/>
      <c r="G354" s="16">
        <v>0</v>
      </c>
    </row>
    <row r="355" spans="1:62" x14ac:dyDescent="0.2">
      <c r="A355" s="5"/>
      <c r="B355" s="13" t="s">
        <v>291</v>
      </c>
      <c r="C355" s="66" t="s">
        <v>667</v>
      </c>
      <c r="D355" s="67"/>
      <c r="E355" s="67"/>
      <c r="F355" s="5" t="s">
        <v>6</v>
      </c>
      <c r="G355" s="5" t="s">
        <v>6</v>
      </c>
      <c r="H355" s="5" t="s">
        <v>6</v>
      </c>
      <c r="I355" s="35">
        <f>SUM(I356:I356)</f>
        <v>0</v>
      </c>
      <c r="J355" s="35">
        <f>SUM(J356:J356)</f>
        <v>0</v>
      </c>
      <c r="K355" s="35">
        <f>SUM(K356:K356)</f>
        <v>0</v>
      </c>
      <c r="L355" s="28"/>
      <c r="AI355" s="28"/>
      <c r="AS355" s="35">
        <f>SUM(AJ356:AJ356)</f>
        <v>0</v>
      </c>
      <c r="AT355" s="35">
        <f>SUM(AK356:AK356)</f>
        <v>0</v>
      </c>
      <c r="AU355" s="35">
        <f>SUM(AL356:AL356)</f>
        <v>0</v>
      </c>
    </row>
    <row r="356" spans="1:62" x14ac:dyDescent="0.2">
      <c r="A356" s="4" t="s">
        <v>118</v>
      </c>
      <c r="B356" s="4" t="s">
        <v>292</v>
      </c>
      <c r="C356" s="56" t="s">
        <v>668</v>
      </c>
      <c r="D356" s="57"/>
      <c r="E356" s="57"/>
      <c r="F356" s="4" t="s">
        <v>823</v>
      </c>
      <c r="G356" s="15">
        <v>322.64999999999998</v>
      </c>
      <c r="H356" s="15">
        <v>0</v>
      </c>
      <c r="I356" s="15">
        <f>G356*AO356</f>
        <v>0</v>
      </c>
      <c r="J356" s="15">
        <f>G356*AP356</f>
        <v>0</v>
      </c>
      <c r="K356" s="15">
        <f>G356*H356</f>
        <v>0</v>
      </c>
      <c r="L356" s="27"/>
      <c r="Z356" s="32">
        <f>IF(AQ356="5",BJ356,0)</f>
        <v>0</v>
      </c>
      <c r="AB356" s="32">
        <f>IF(AQ356="1",BH356,0)</f>
        <v>0</v>
      </c>
      <c r="AC356" s="32">
        <f>IF(AQ356="1",BI356,0)</f>
        <v>0</v>
      </c>
      <c r="AD356" s="32">
        <f>IF(AQ356="7",BH356,0)</f>
        <v>0</v>
      </c>
      <c r="AE356" s="32">
        <f>IF(AQ356="7",BI356,0)</f>
        <v>0</v>
      </c>
      <c r="AF356" s="32">
        <f>IF(AQ356="2",BH356,0)</f>
        <v>0</v>
      </c>
      <c r="AG356" s="32">
        <f>IF(AQ356="2",BI356,0)</f>
        <v>0</v>
      </c>
      <c r="AH356" s="32">
        <f>IF(AQ356="0",BJ356,0)</f>
        <v>0</v>
      </c>
      <c r="AI356" s="28"/>
      <c r="AJ356" s="15">
        <f>IF(AN356=0,K356,0)</f>
        <v>0</v>
      </c>
      <c r="AK356" s="15">
        <f>IF(AN356=15,K356,0)</f>
        <v>0</v>
      </c>
      <c r="AL356" s="15">
        <f>IF(AN356=21,K356,0)</f>
        <v>0</v>
      </c>
      <c r="AN356" s="32">
        <v>21</v>
      </c>
      <c r="AO356" s="32">
        <f>H356*0.75</f>
        <v>0</v>
      </c>
      <c r="AP356" s="32">
        <f>H356*(1-0.75)</f>
        <v>0</v>
      </c>
      <c r="AQ356" s="27" t="s">
        <v>13</v>
      </c>
      <c r="AV356" s="32">
        <f>AW356+AX356</f>
        <v>0</v>
      </c>
      <c r="AW356" s="32">
        <f>G356*AO356</f>
        <v>0</v>
      </c>
      <c r="AX356" s="32">
        <f>G356*AP356</f>
        <v>0</v>
      </c>
      <c r="AY356" s="33" t="s">
        <v>879</v>
      </c>
      <c r="AZ356" s="33" t="s">
        <v>893</v>
      </c>
      <c r="BA356" s="28" t="s">
        <v>895</v>
      </c>
      <c r="BC356" s="32">
        <f>AW356+AX356</f>
        <v>0</v>
      </c>
      <c r="BD356" s="32">
        <f>H356/(100-BE356)*100</f>
        <v>0</v>
      </c>
      <c r="BE356" s="32">
        <v>0</v>
      </c>
      <c r="BF356" s="32">
        <f>354</f>
        <v>354</v>
      </c>
      <c r="BH356" s="15">
        <f>G356*AO356</f>
        <v>0</v>
      </c>
      <c r="BI356" s="15">
        <f>G356*AP356</f>
        <v>0</v>
      </c>
      <c r="BJ356" s="15">
        <f>G356*H356</f>
        <v>0</v>
      </c>
    </row>
    <row r="357" spans="1:62" x14ac:dyDescent="0.2">
      <c r="C357" s="58" t="s">
        <v>669</v>
      </c>
      <c r="D357" s="59"/>
      <c r="E357" s="59"/>
      <c r="G357" s="16">
        <v>293.76</v>
      </c>
    </row>
    <row r="358" spans="1:62" x14ac:dyDescent="0.2">
      <c r="C358" s="58" t="s">
        <v>670</v>
      </c>
      <c r="D358" s="59"/>
      <c r="E358" s="59"/>
      <c r="G358" s="16">
        <v>18</v>
      </c>
    </row>
    <row r="359" spans="1:62" x14ac:dyDescent="0.2">
      <c r="C359" s="58" t="s">
        <v>671</v>
      </c>
      <c r="D359" s="59"/>
      <c r="E359" s="59"/>
      <c r="G359" s="16">
        <v>2.25</v>
      </c>
    </row>
    <row r="360" spans="1:62" x14ac:dyDescent="0.2">
      <c r="C360" s="58" t="s">
        <v>672</v>
      </c>
      <c r="D360" s="59"/>
      <c r="E360" s="59"/>
      <c r="G360" s="16">
        <v>8.64</v>
      </c>
    </row>
    <row r="361" spans="1:62" x14ac:dyDescent="0.2">
      <c r="A361" s="5"/>
      <c r="B361" s="13" t="s">
        <v>100</v>
      </c>
      <c r="C361" s="66" t="s">
        <v>673</v>
      </c>
      <c r="D361" s="67"/>
      <c r="E361" s="67"/>
      <c r="F361" s="5" t="s">
        <v>6</v>
      </c>
      <c r="G361" s="5" t="s">
        <v>6</v>
      </c>
      <c r="H361" s="5" t="s">
        <v>6</v>
      </c>
      <c r="I361" s="35">
        <f>SUM(I362:I390)</f>
        <v>0</v>
      </c>
      <c r="J361" s="35">
        <f>SUM(J362:J390)</f>
        <v>0</v>
      </c>
      <c r="K361" s="35">
        <f>SUM(K362:K390)</f>
        <v>0</v>
      </c>
      <c r="L361" s="28"/>
      <c r="AI361" s="28"/>
      <c r="AS361" s="35">
        <f>SUM(AJ362:AJ390)</f>
        <v>0</v>
      </c>
      <c r="AT361" s="35">
        <f>SUM(AK362:AK390)</f>
        <v>0</v>
      </c>
      <c r="AU361" s="35">
        <f>SUM(AL362:AL390)</f>
        <v>0</v>
      </c>
    </row>
    <row r="362" spans="1:62" x14ac:dyDescent="0.2">
      <c r="A362" s="4" t="s">
        <v>119</v>
      </c>
      <c r="B362" s="4" t="s">
        <v>293</v>
      </c>
      <c r="C362" s="56" t="s">
        <v>674</v>
      </c>
      <c r="D362" s="57"/>
      <c r="E362" s="57"/>
      <c r="F362" s="4" t="s">
        <v>823</v>
      </c>
      <c r="G362" s="15">
        <v>1956.2</v>
      </c>
      <c r="H362" s="15">
        <v>0</v>
      </c>
      <c r="I362" s="15">
        <f>G362*AO362</f>
        <v>0</v>
      </c>
      <c r="J362" s="15">
        <f>G362*AP362</f>
        <v>0</v>
      </c>
      <c r="K362" s="15">
        <f>G362*H362</f>
        <v>0</v>
      </c>
      <c r="L362" s="27" t="s">
        <v>846</v>
      </c>
      <c r="Z362" s="32">
        <f>IF(AQ362="5",BJ362,0)</f>
        <v>0</v>
      </c>
      <c r="AB362" s="32">
        <f>IF(AQ362="1",BH362,0)</f>
        <v>0</v>
      </c>
      <c r="AC362" s="32">
        <f>IF(AQ362="1",BI362,0)</f>
        <v>0</v>
      </c>
      <c r="AD362" s="32">
        <f>IF(AQ362="7",BH362,0)</f>
        <v>0</v>
      </c>
      <c r="AE362" s="32">
        <f>IF(AQ362="7",BI362,0)</f>
        <v>0</v>
      </c>
      <c r="AF362" s="32">
        <f>IF(AQ362="2",BH362,0)</f>
        <v>0</v>
      </c>
      <c r="AG362" s="32">
        <f>IF(AQ362="2",BI362,0)</f>
        <v>0</v>
      </c>
      <c r="AH362" s="32">
        <f>IF(AQ362="0",BJ362,0)</f>
        <v>0</v>
      </c>
      <c r="AI362" s="28"/>
      <c r="AJ362" s="15">
        <f>IF(AN362=0,K362,0)</f>
        <v>0</v>
      </c>
      <c r="AK362" s="15">
        <f>IF(AN362=15,K362,0)</f>
        <v>0</v>
      </c>
      <c r="AL362" s="15">
        <f>IF(AN362=21,K362,0)</f>
        <v>0</v>
      </c>
      <c r="AN362" s="32">
        <v>21</v>
      </c>
      <c r="AO362" s="32">
        <f>H362*0.00013719302866971</f>
        <v>0</v>
      </c>
      <c r="AP362" s="32">
        <f>H362*(1-0.00013719302866971)</f>
        <v>0</v>
      </c>
      <c r="AQ362" s="27" t="s">
        <v>7</v>
      </c>
      <c r="AV362" s="32">
        <f>AW362+AX362</f>
        <v>0</v>
      </c>
      <c r="AW362" s="32">
        <f>G362*AO362</f>
        <v>0</v>
      </c>
      <c r="AX362" s="32">
        <f>G362*AP362</f>
        <v>0</v>
      </c>
      <c r="AY362" s="33" t="s">
        <v>880</v>
      </c>
      <c r="AZ362" s="33" t="s">
        <v>894</v>
      </c>
      <c r="BA362" s="28" t="s">
        <v>895</v>
      </c>
      <c r="BC362" s="32">
        <f>AW362+AX362</f>
        <v>0</v>
      </c>
      <c r="BD362" s="32">
        <f>H362/(100-BE362)*100</f>
        <v>0</v>
      </c>
      <c r="BE362" s="32">
        <v>0</v>
      </c>
      <c r="BF362" s="32">
        <f>360</f>
        <v>360</v>
      </c>
      <c r="BH362" s="15">
        <f>G362*AO362</f>
        <v>0</v>
      </c>
      <c r="BI362" s="15">
        <f>G362*AP362</f>
        <v>0</v>
      </c>
      <c r="BJ362" s="15">
        <f>G362*H362</f>
        <v>0</v>
      </c>
    </row>
    <row r="363" spans="1:62" x14ac:dyDescent="0.2">
      <c r="C363" s="58" t="s">
        <v>675</v>
      </c>
      <c r="D363" s="59"/>
      <c r="E363" s="59"/>
      <c r="G363" s="16">
        <v>600.20000000000005</v>
      </c>
    </row>
    <row r="364" spans="1:62" x14ac:dyDescent="0.2">
      <c r="C364" s="58" t="s">
        <v>676</v>
      </c>
      <c r="D364" s="59"/>
      <c r="E364" s="59"/>
      <c r="G364" s="16">
        <v>289</v>
      </c>
    </row>
    <row r="365" spans="1:62" x14ac:dyDescent="0.2">
      <c r="C365" s="58" t="s">
        <v>677</v>
      </c>
      <c r="D365" s="59"/>
      <c r="E365" s="59"/>
      <c r="G365" s="16">
        <v>636.5</v>
      </c>
    </row>
    <row r="366" spans="1:62" x14ac:dyDescent="0.2">
      <c r="C366" s="58" t="s">
        <v>678</v>
      </c>
      <c r="D366" s="59"/>
      <c r="E366" s="59"/>
      <c r="G366" s="16">
        <v>352.5</v>
      </c>
    </row>
    <row r="367" spans="1:62" x14ac:dyDescent="0.2">
      <c r="C367" s="58" t="s">
        <v>679</v>
      </c>
      <c r="D367" s="59"/>
      <c r="E367" s="59"/>
      <c r="G367" s="16">
        <v>78</v>
      </c>
    </row>
    <row r="368" spans="1:62" x14ac:dyDescent="0.2">
      <c r="A368" s="4" t="s">
        <v>120</v>
      </c>
      <c r="B368" s="4" t="s">
        <v>294</v>
      </c>
      <c r="C368" s="56" t="s">
        <v>680</v>
      </c>
      <c r="D368" s="57"/>
      <c r="E368" s="57"/>
      <c r="F368" s="4" t="s">
        <v>823</v>
      </c>
      <c r="G368" s="15">
        <v>3912.4</v>
      </c>
      <c r="H368" s="15">
        <v>0</v>
      </c>
      <c r="I368" s="15">
        <f>G368*AO368</f>
        <v>0</v>
      </c>
      <c r="J368" s="15">
        <f>G368*AP368</f>
        <v>0</v>
      </c>
      <c r="K368" s="15">
        <f>G368*H368</f>
        <v>0</v>
      </c>
      <c r="L368" s="27" t="s">
        <v>846</v>
      </c>
      <c r="Z368" s="32">
        <f>IF(AQ368="5",BJ368,0)</f>
        <v>0</v>
      </c>
      <c r="AB368" s="32">
        <f>IF(AQ368="1",BH368,0)</f>
        <v>0</v>
      </c>
      <c r="AC368" s="32">
        <f>IF(AQ368="1",BI368,0)</f>
        <v>0</v>
      </c>
      <c r="AD368" s="32">
        <f>IF(AQ368="7",BH368,0)</f>
        <v>0</v>
      </c>
      <c r="AE368" s="32">
        <f>IF(AQ368="7",BI368,0)</f>
        <v>0</v>
      </c>
      <c r="AF368" s="32">
        <f>IF(AQ368="2",BH368,0)</f>
        <v>0</v>
      </c>
      <c r="AG368" s="32">
        <f>IF(AQ368="2",BI368,0)</f>
        <v>0</v>
      </c>
      <c r="AH368" s="32">
        <f>IF(AQ368="0",BJ368,0)</f>
        <v>0</v>
      </c>
      <c r="AI368" s="28"/>
      <c r="AJ368" s="15">
        <f>IF(AN368=0,K368,0)</f>
        <v>0</v>
      </c>
      <c r="AK368" s="15">
        <f>IF(AN368=15,K368,0)</f>
        <v>0</v>
      </c>
      <c r="AL368" s="15">
        <f>IF(AN368=21,K368,0)</f>
        <v>0</v>
      </c>
      <c r="AN368" s="32">
        <v>21</v>
      </c>
      <c r="AO368" s="32">
        <f>H368*0.902830188679245</f>
        <v>0</v>
      </c>
      <c r="AP368" s="32">
        <f>H368*(1-0.902830188679245)</f>
        <v>0</v>
      </c>
      <c r="AQ368" s="27" t="s">
        <v>7</v>
      </c>
      <c r="AV368" s="32">
        <f>AW368+AX368</f>
        <v>0</v>
      </c>
      <c r="AW368" s="32">
        <f>G368*AO368</f>
        <v>0</v>
      </c>
      <c r="AX368" s="32">
        <f>G368*AP368</f>
        <v>0</v>
      </c>
      <c r="AY368" s="33" t="s">
        <v>880</v>
      </c>
      <c r="AZ368" s="33" t="s">
        <v>894</v>
      </c>
      <c r="BA368" s="28" t="s">
        <v>895</v>
      </c>
      <c r="BC368" s="32">
        <f>AW368+AX368</f>
        <v>0</v>
      </c>
      <c r="BD368" s="32">
        <f>H368/(100-BE368)*100</f>
        <v>0</v>
      </c>
      <c r="BE368" s="32">
        <v>0</v>
      </c>
      <c r="BF368" s="32">
        <f>366</f>
        <v>366</v>
      </c>
      <c r="BH368" s="15">
        <f>G368*AO368</f>
        <v>0</v>
      </c>
      <c r="BI368" s="15">
        <f>G368*AP368</f>
        <v>0</v>
      </c>
      <c r="BJ368" s="15">
        <f>G368*H368</f>
        <v>0</v>
      </c>
    </row>
    <row r="369" spans="1:62" x14ac:dyDescent="0.2">
      <c r="C369" s="58" t="s">
        <v>681</v>
      </c>
      <c r="D369" s="59"/>
      <c r="E369" s="59"/>
      <c r="G369" s="16">
        <v>3912.4</v>
      </c>
    </row>
    <row r="370" spans="1:62" x14ac:dyDescent="0.2">
      <c r="A370" s="4" t="s">
        <v>121</v>
      </c>
      <c r="B370" s="4" t="s">
        <v>295</v>
      </c>
      <c r="C370" s="56" t="s">
        <v>682</v>
      </c>
      <c r="D370" s="57"/>
      <c r="E370" s="57"/>
      <c r="F370" s="4" t="s">
        <v>823</v>
      </c>
      <c r="G370" s="15">
        <v>1956.2</v>
      </c>
      <c r="H370" s="15">
        <v>0</v>
      </c>
      <c r="I370" s="15">
        <f>G370*AO370</f>
        <v>0</v>
      </c>
      <c r="J370" s="15">
        <f>G370*AP370</f>
        <v>0</v>
      </c>
      <c r="K370" s="15">
        <f>G370*H370</f>
        <v>0</v>
      </c>
      <c r="L370" s="27" t="s">
        <v>846</v>
      </c>
      <c r="Z370" s="32">
        <f>IF(AQ370="5",BJ370,0)</f>
        <v>0</v>
      </c>
      <c r="AB370" s="32">
        <f>IF(AQ370="1",BH370,0)</f>
        <v>0</v>
      </c>
      <c r="AC370" s="32">
        <f>IF(AQ370="1",BI370,0)</f>
        <v>0</v>
      </c>
      <c r="AD370" s="32">
        <f>IF(AQ370="7",BH370,0)</f>
        <v>0</v>
      </c>
      <c r="AE370" s="32">
        <f>IF(AQ370="7",BI370,0)</f>
        <v>0</v>
      </c>
      <c r="AF370" s="32">
        <f>IF(AQ370="2",BH370,0)</f>
        <v>0</v>
      </c>
      <c r="AG370" s="32">
        <f>IF(AQ370="2",BI370,0)</f>
        <v>0</v>
      </c>
      <c r="AH370" s="32">
        <f>IF(AQ370="0",BJ370,0)</f>
        <v>0</v>
      </c>
      <c r="AI370" s="28"/>
      <c r="AJ370" s="15">
        <f>IF(AN370=0,K370,0)</f>
        <v>0</v>
      </c>
      <c r="AK370" s="15">
        <f>IF(AN370=15,K370,0)</f>
        <v>0</v>
      </c>
      <c r="AL370" s="15">
        <f>IF(AN370=21,K370,0)</f>
        <v>0</v>
      </c>
      <c r="AN370" s="32">
        <v>21</v>
      </c>
      <c r="AO370" s="32">
        <f>H370*0</f>
        <v>0</v>
      </c>
      <c r="AP370" s="32">
        <f>H370*(1-0)</f>
        <v>0</v>
      </c>
      <c r="AQ370" s="27" t="s">
        <v>7</v>
      </c>
      <c r="AV370" s="32">
        <f>AW370+AX370</f>
        <v>0</v>
      </c>
      <c r="AW370" s="32">
        <f>G370*AO370</f>
        <v>0</v>
      </c>
      <c r="AX370" s="32">
        <f>G370*AP370</f>
        <v>0</v>
      </c>
      <c r="AY370" s="33" t="s">
        <v>880</v>
      </c>
      <c r="AZ370" s="33" t="s">
        <v>894</v>
      </c>
      <c r="BA370" s="28" t="s">
        <v>895</v>
      </c>
      <c r="BC370" s="32">
        <f>AW370+AX370</f>
        <v>0</v>
      </c>
      <c r="BD370" s="32">
        <f>H370/(100-BE370)*100</f>
        <v>0</v>
      </c>
      <c r="BE370" s="32">
        <v>0</v>
      </c>
      <c r="BF370" s="32">
        <f>368</f>
        <v>368</v>
      </c>
      <c r="BH370" s="15">
        <f>G370*AO370</f>
        <v>0</v>
      </c>
      <c r="BI370" s="15">
        <f>G370*AP370</f>
        <v>0</v>
      </c>
      <c r="BJ370" s="15">
        <f>G370*H370</f>
        <v>0</v>
      </c>
    </row>
    <row r="371" spans="1:62" x14ac:dyDescent="0.2">
      <c r="C371" s="58" t="s">
        <v>683</v>
      </c>
      <c r="D371" s="59"/>
      <c r="E371" s="59"/>
      <c r="G371" s="16">
        <v>1956.2</v>
      </c>
    </row>
    <row r="372" spans="1:62" x14ac:dyDescent="0.2">
      <c r="A372" s="4" t="s">
        <v>122</v>
      </c>
      <c r="B372" s="4" t="s">
        <v>296</v>
      </c>
      <c r="C372" s="56" t="s">
        <v>684</v>
      </c>
      <c r="D372" s="57"/>
      <c r="E372" s="57"/>
      <c r="F372" s="4" t="s">
        <v>823</v>
      </c>
      <c r="G372" s="15">
        <v>1956.2</v>
      </c>
      <c r="H372" s="15">
        <v>0</v>
      </c>
      <c r="I372" s="15">
        <f>G372*AO372</f>
        <v>0</v>
      </c>
      <c r="J372" s="15">
        <f>G372*AP372</f>
        <v>0</v>
      </c>
      <c r="K372" s="15">
        <f>G372*H372</f>
        <v>0</v>
      </c>
      <c r="L372" s="27" t="s">
        <v>846</v>
      </c>
      <c r="Z372" s="32">
        <f>IF(AQ372="5",BJ372,0)</f>
        <v>0</v>
      </c>
      <c r="AB372" s="32">
        <f>IF(AQ372="1",BH372,0)</f>
        <v>0</v>
      </c>
      <c r="AC372" s="32">
        <f>IF(AQ372="1",BI372,0)</f>
        <v>0</v>
      </c>
      <c r="AD372" s="32">
        <f>IF(AQ372="7",BH372,0)</f>
        <v>0</v>
      </c>
      <c r="AE372" s="32">
        <f>IF(AQ372="7",BI372,0)</f>
        <v>0</v>
      </c>
      <c r="AF372" s="32">
        <f>IF(AQ372="2",BH372,0)</f>
        <v>0</v>
      </c>
      <c r="AG372" s="32">
        <f>IF(AQ372="2",BI372,0)</f>
        <v>0</v>
      </c>
      <c r="AH372" s="32">
        <f>IF(AQ372="0",BJ372,0)</f>
        <v>0</v>
      </c>
      <c r="AI372" s="28"/>
      <c r="AJ372" s="15">
        <f>IF(AN372=0,K372,0)</f>
        <v>0</v>
      </c>
      <c r="AK372" s="15">
        <f>IF(AN372=15,K372,0)</f>
        <v>0</v>
      </c>
      <c r="AL372" s="15">
        <f>IF(AN372=21,K372,0)</f>
        <v>0</v>
      </c>
      <c r="AN372" s="32">
        <v>21</v>
      </c>
      <c r="AO372" s="32">
        <f>H372*0</f>
        <v>0</v>
      </c>
      <c r="AP372" s="32">
        <f>H372*(1-0)</f>
        <v>0</v>
      </c>
      <c r="AQ372" s="27" t="s">
        <v>7</v>
      </c>
      <c r="AV372" s="32">
        <f>AW372+AX372</f>
        <v>0</v>
      </c>
      <c r="AW372" s="32">
        <f>G372*AO372</f>
        <v>0</v>
      </c>
      <c r="AX372" s="32">
        <f>G372*AP372</f>
        <v>0</v>
      </c>
      <c r="AY372" s="33" t="s">
        <v>880</v>
      </c>
      <c r="AZ372" s="33" t="s">
        <v>894</v>
      </c>
      <c r="BA372" s="28" t="s">
        <v>895</v>
      </c>
      <c r="BC372" s="32">
        <f>AW372+AX372</f>
        <v>0</v>
      </c>
      <c r="BD372" s="32">
        <f>H372/(100-BE372)*100</f>
        <v>0</v>
      </c>
      <c r="BE372" s="32">
        <v>0</v>
      </c>
      <c r="BF372" s="32">
        <f>370</f>
        <v>370</v>
      </c>
      <c r="BH372" s="15">
        <f>G372*AO372</f>
        <v>0</v>
      </c>
      <c r="BI372" s="15">
        <f>G372*AP372</f>
        <v>0</v>
      </c>
      <c r="BJ372" s="15">
        <f>G372*H372</f>
        <v>0</v>
      </c>
    </row>
    <row r="373" spans="1:62" x14ac:dyDescent="0.2">
      <c r="C373" s="58" t="s">
        <v>685</v>
      </c>
      <c r="D373" s="59"/>
      <c r="E373" s="59"/>
      <c r="G373" s="16">
        <v>1956.2</v>
      </c>
    </row>
    <row r="374" spans="1:62" x14ac:dyDescent="0.2">
      <c r="A374" s="4" t="s">
        <v>123</v>
      </c>
      <c r="B374" s="4" t="s">
        <v>297</v>
      </c>
      <c r="C374" s="56" t="s">
        <v>686</v>
      </c>
      <c r="D374" s="57"/>
      <c r="E374" s="57"/>
      <c r="F374" s="4" t="s">
        <v>823</v>
      </c>
      <c r="G374" s="15">
        <v>3912.4</v>
      </c>
      <c r="H374" s="15">
        <v>0</v>
      </c>
      <c r="I374" s="15">
        <f>G374*AO374</f>
        <v>0</v>
      </c>
      <c r="J374" s="15">
        <f>G374*AP374</f>
        <v>0</v>
      </c>
      <c r="K374" s="15">
        <f>G374*H374</f>
        <v>0</v>
      </c>
      <c r="L374" s="27" t="s">
        <v>846</v>
      </c>
      <c r="Z374" s="32">
        <f>IF(AQ374="5",BJ374,0)</f>
        <v>0</v>
      </c>
      <c r="AB374" s="32">
        <f>IF(AQ374="1",BH374,0)</f>
        <v>0</v>
      </c>
      <c r="AC374" s="32">
        <f>IF(AQ374="1",BI374,0)</f>
        <v>0</v>
      </c>
      <c r="AD374" s="32">
        <f>IF(AQ374="7",BH374,0)</f>
        <v>0</v>
      </c>
      <c r="AE374" s="32">
        <f>IF(AQ374="7",BI374,0)</f>
        <v>0</v>
      </c>
      <c r="AF374" s="32">
        <f>IF(AQ374="2",BH374,0)</f>
        <v>0</v>
      </c>
      <c r="AG374" s="32">
        <f>IF(AQ374="2",BI374,0)</f>
        <v>0</v>
      </c>
      <c r="AH374" s="32">
        <f>IF(AQ374="0",BJ374,0)</f>
        <v>0</v>
      </c>
      <c r="AI374" s="28"/>
      <c r="AJ374" s="15">
        <f>IF(AN374=0,K374,0)</f>
        <v>0</v>
      </c>
      <c r="AK374" s="15">
        <f>IF(AN374=15,K374,0)</f>
        <v>0</v>
      </c>
      <c r="AL374" s="15">
        <f>IF(AN374=21,K374,0)</f>
        <v>0</v>
      </c>
      <c r="AN374" s="32">
        <v>21</v>
      </c>
      <c r="AO374" s="32">
        <f>H374*1</f>
        <v>0</v>
      </c>
      <c r="AP374" s="32">
        <f>H374*(1-1)</f>
        <v>0</v>
      </c>
      <c r="AQ374" s="27" t="s">
        <v>7</v>
      </c>
      <c r="AV374" s="32">
        <f>AW374+AX374</f>
        <v>0</v>
      </c>
      <c r="AW374" s="32">
        <f>G374*AO374</f>
        <v>0</v>
      </c>
      <c r="AX374" s="32">
        <f>G374*AP374</f>
        <v>0</v>
      </c>
      <c r="AY374" s="33" t="s">
        <v>880</v>
      </c>
      <c r="AZ374" s="33" t="s">
        <v>894</v>
      </c>
      <c r="BA374" s="28" t="s">
        <v>895</v>
      </c>
      <c r="BC374" s="32">
        <f>AW374+AX374</f>
        <v>0</v>
      </c>
      <c r="BD374" s="32">
        <f>H374/(100-BE374)*100</f>
        <v>0</v>
      </c>
      <c r="BE374" s="32">
        <v>0</v>
      </c>
      <c r="BF374" s="32">
        <f>372</f>
        <v>372</v>
      </c>
      <c r="BH374" s="15">
        <f>G374*AO374</f>
        <v>0</v>
      </c>
      <c r="BI374" s="15">
        <f>G374*AP374</f>
        <v>0</v>
      </c>
      <c r="BJ374" s="15">
        <f>G374*H374</f>
        <v>0</v>
      </c>
    </row>
    <row r="375" spans="1:62" x14ac:dyDescent="0.2">
      <c r="C375" s="58" t="s">
        <v>681</v>
      </c>
      <c r="D375" s="59"/>
      <c r="E375" s="59"/>
      <c r="G375" s="16">
        <v>3912.4</v>
      </c>
    </row>
    <row r="376" spans="1:62" x14ac:dyDescent="0.2">
      <c r="A376" s="4" t="s">
        <v>124</v>
      </c>
      <c r="B376" s="4" t="s">
        <v>298</v>
      </c>
      <c r="C376" s="56" t="s">
        <v>687</v>
      </c>
      <c r="D376" s="57"/>
      <c r="E376" s="57"/>
      <c r="F376" s="4" t="s">
        <v>823</v>
      </c>
      <c r="G376" s="15">
        <v>1956.2</v>
      </c>
      <c r="H376" s="15">
        <v>0</v>
      </c>
      <c r="I376" s="15">
        <f>G376*AO376</f>
        <v>0</v>
      </c>
      <c r="J376" s="15">
        <f>G376*AP376</f>
        <v>0</v>
      </c>
      <c r="K376" s="15">
        <f>G376*H376</f>
        <v>0</v>
      </c>
      <c r="L376" s="27" t="s">
        <v>846</v>
      </c>
      <c r="Z376" s="32">
        <f>IF(AQ376="5",BJ376,0)</f>
        <v>0</v>
      </c>
      <c r="AB376" s="32">
        <f>IF(AQ376="1",BH376,0)</f>
        <v>0</v>
      </c>
      <c r="AC376" s="32">
        <f>IF(AQ376="1",BI376,0)</f>
        <v>0</v>
      </c>
      <c r="AD376" s="32">
        <f>IF(AQ376="7",BH376,0)</f>
        <v>0</v>
      </c>
      <c r="AE376" s="32">
        <f>IF(AQ376="7",BI376,0)</f>
        <v>0</v>
      </c>
      <c r="AF376" s="32">
        <f>IF(AQ376="2",BH376,0)</f>
        <v>0</v>
      </c>
      <c r="AG376" s="32">
        <f>IF(AQ376="2",BI376,0)</f>
        <v>0</v>
      </c>
      <c r="AH376" s="32">
        <f>IF(AQ376="0",BJ376,0)</f>
        <v>0</v>
      </c>
      <c r="AI376" s="28"/>
      <c r="AJ376" s="15">
        <f>IF(AN376=0,K376,0)</f>
        <v>0</v>
      </c>
      <c r="AK376" s="15">
        <f>IF(AN376=15,K376,0)</f>
        <v>0</v>
      </c>
      <c r="AL376" s="15">
        <f>IF(AN376=21,K376,0)</f>
        <v>0</v>
      </c>
      <c r="AN376" s="32">
        <v>21</v>
      </c>
      <c r="AO376" s="32">
        <f>H376*0</f>
        <v>0</v>
      </c>
      <c r="AP376" s="32">
        <f>H376*(1-0)</f>
        <v>0</v>
      </c>
      <c r="AQ376" s="27" t="s">
        <v>7</v>
      </c>
      <c r="AV376" s="32">
        <f>AW376+AX376</f>
        <v>0</v>
      </c>
      <c r="AW376" s="32">
        <f>G376*AO376</f>
        <v>0</v>
      </c>
      <c r="AX376" s="32">
        <f>G376*AP376</f>
        <v>0</v>
      </c>
      <c r="AY376" s="33" t="s">
        <v>880</v>
      </c>
      <c r="AZ376" s="33" t="s">
        <v>894</v>
      </c>
      <c r="BA376" s="28" t="s">
        <v>895</v>
      </c>
      <c r="BC376" s="32">
        <f>AW376+AX376</f>
        <v>0</v>
      </c>
      <c r="BD376" s="32">
        <f>H376/(100-BE376)*100</f>
        <v>0</v>
      </c>
      <c r="BE376" s="32">
        <v>0</v>
      </c>
      <c r="BF376" s="32">
        <f>374</f>
        <v>374</v>
      </c>
      <c r="BH376" s="15">
        <f>G376*AO376</f>
        <v>0</v>
      </c>
      <c r="BI376" s="15">
        <f>G376*AP376</f>
        <v>0</v>
      </c>
      <c r="BJ376" s="15">
        <f>G376*H376</f>
        <v>0</v>
      </c>
    </row>
    <row r="377" spans="1:62" x14ac:dyDescent="0.2">
      <c r="C377" s="58" t="s">
        <v>683</v>
      </c>
      <c r="D377" s="59"/>
      <c r="E377" s="59"/>
      <c r="G377" s="16">
        <v>1956.2</v>
      </c>
    </row>
    <row r="378" spans="1:62" x14ac:dyDescent="0.2">
      <c r="A378" s="4" t="s">
        <v>125</v>
      </c>
      <c r="B378" s="4" t="s">
        <v>299</v>
      </c>
      <c r="C378" s="56" t="s">
        <v>688</v>
      </c>
      <c r="D378" s="57"/>
      <c r="E378" s="57"/>
      <c r="F378" s="4" t="s">
        <v>823</v>
      </c>
      <c r="G378" s="15">
        <v>642.14</v>
      </c>
      <c r="H378" s="15">
        <v>0</v>
      </c>
      <c r="I378" s="15">
        <f>G378*AO378</f>
        <v>0</v>
      </c>
      <c r="J378" s="15">
        <f>G378*AP378</f>
        <v>0</v>
      </c>
      <c r="K378" s="15">
        <f>G378*H378</f>
        <v>0</v>
      </c>
      <c r="L378" s="27" t="s">
        <v>846</v>
      </c>
      <c r="Z378" s="32">
        <f>IF(AQ378="5",BJ378,0)</f>
        <v>0</v>
      </c>
      <c r="AB378" s="32">
        <f>IF(AQ378="1",BH378,0)</f>
        <v>0</v>
      </c>
      <c r="AC378" s="32">
        <f>IF(AQ378="1",BI378,0)</f>
        <v>0</v>
      </c>
      <c r="AD378" s="32">
        <f>IF(AQ378="7",BH378,0)</f>
        <v>0</v>
      </c>
      <c r="AE378" s="32">
        <f>IF(AQ378="7",BI378,0)</f>
        <v>0</v>
      </c>
      <c r="AF378" s="32">
        <f>IF(AQ378="2",BH378,0)</f>
        <v>0</v>
      </c>
      <c r="AG378" s="32">
        <f>IF(AQ378="2",BI378,0)</f>
        <v>0</v>
      </c>
      <c r="AH378" s="32">
        <f>IF(AQ378="0",BJ378,0)</f>
        <v>0</v>
      </c>
      <c r="AI378" s="28"/>
      <c r="AJ378" s="15">
        <f>IF(AN378=0,K378,0)</f>
        <v>0</v>
      </c>
      <c r="AK378" s="15">
        <f>IF(AN378=15,K378,0)</f>
        <v>0</v>
      </c>
      <c r="AL378" s="15">
        <f>IF(AN378=21,K378,0)</f>
        <v>0</v>
      </c>
      <c r="AN378" s="32">
        <v>21</v>
      </c>
      <c r="AO378" s="32">
        <f>H378*0.337601638134008</f>
        <v>0</v>
      </c>
      <c r="AP378" s="32">
        <f>H378*(1-0.337601638134008)</f>
        <v>0</v>
      </c>
      <c r="AQ378" s="27" t="s">
        <v>7</v>
      </c>
      <c r="AV378" s="32">
        <f>AW378+AX378</f>
        <v>0</v>
      </c>
      <c r="AW378" s="32">
        <f>G378*AO378</f>
        <v>0</v>
      </c>
      <c r="AX378" s="32">
        <f>G378*AP378</f>
        <v>0</v>
      </c>
      <c r="AY378" s="33" t="s">
        <v>880</v>
      </c>
      <c r="AZ378" s="33" t="s">
        <v>894</v>
      </c>
      <c r="BA378" s="28" t="s">
        <v>895</v>
      </c>
      <c r="BC378" s="32">
        <f>AW378+AX378</f>
        <v>0</v>
      </c>
      <c r="BD378" s="32">
        <f>H378/(100-BE378)*100</f>
        <v>0</v>
      </c>
      <c r="BE378" s="32">
        <v>0</v>
      </c>
      <c r="BF378" s="32">
        <f>376</f>
        <v>376</v>
      </c>
      <c r="BH378" s="15">
        <f>G378*AO378</f>
        <v>0</v>
      </c>
      <c r="BI378" s="15">
        <f>G378*AP378</f>
        <v>0</v>
      </c>
      <c r="BJ378" s="15">
        <f>G378*H378</f>
        <v>0</v>
      </c>
    </row>
    <row r="379" spans="1:62" x14ac:dyDescent="0.2">
      <c r="C379" s="58" t="s">
        <v>689</v>
      </c>
      <c r="D379" s="59"/>
      <c r="E379" s="59"/>
      <c r="G379" s="16">
        <v>92.3</v>
      </c>
    </row>
    <row r="380" spans="1:62" x14ac:dyDescent="0.2">
      <c r="C380" s="58" t="s">
        <v>690</v>
      </c>
      <c r="D380" s="59"/>
      <c r="E380" s="59"/>
      <c r="G380" s="16">
        <v>73.05</v>
      </c>
    </row>
    <row r="381" spans="1:62" x14ac:dyDescent="0.2">
      <c r="C381" s="58" t="s">
        <v>649</v>
      </c>
      <c r="D381" s="59"/>
      <c r="E381" s="59"/>
      <c r="G381" s="16">
        <v>0</v>
      </c>
    </row>
    <row r="382" spans="1:62" x14ac:dyDescent="0.2">
      <c r="C382" s="58" t="s">
        <v>691</v>
      </c>
      <c r="D382" s="59"/>
      <c r="E382" s="59"/>
      <c r="G382" s="16">
        <v>100.5</v>
      </c>
    </row>
    <row r="383" spans="1:62" x14ac:dyDescent="0.2">
      <c r="C383" s="58" t="s">
        <v>692</v>
      </c>
      <c r="D383" s="59"/>
      <c r="E383" s="59"/>
      <c r="G383" s="16">
        <v>54.6</v>
      </c>
    </row>
    <row r="384" spans="1:62" x14ac:dyDescent="0.2">
      <c r="C384" s="58" t="s">
        <v>693</v>
      </c>
      <c r="D384" s="59"/>
      <c r="E384" s="59"/>
      <c r="G384" s="16">
        <v>87.75</v>
      </c>
    </row>
    <row r="385" spans="1:62" x14ac:dyDescent="0.2">
      <c r="C385" s="58" t="s">
        <v>658</v>
      </c>
      <c r="D385" s="59"/>
      <c r="E385" s="59"/>
      <c r="G385" s="16">
        <v>0</v>
      </c>
    </row>
    <row r="386" spans="1:62" x14ac:dyDescent="0.2">
      <c r="C386" s="58" t="s">
        <v>694</v>
      </c>
      <c r="D386" s="59"/>
      <c r="E386" s="59"/>
      <c r="G386" s="16">
        <v>56.85</v>
      </c>
    </row>
    <row r="387" spans="1:62" x14ac:dyDescent="0.2">
      <c r="C387" s="58" t="s">
        <v>695</v>
      </c>
      <c r="D387" s="59"/>
      <c r="E387" s="59"/>
      <c r="G387" s="16">
        <v>68.64</v>
      </c>
    </row>
    <row r="388" spans="1:62" x14ac:dyDescent="0.2">
      <c r="C388" s="58" t="s">
        <v>696</v>
      </c>
      <c r="D388" s="59"/>
      <c r="E388" s="59"/>
      <c r="G388" s="16">
        <v>108.45</v>
      </c>
    </row>
    <row r="389" spans="1:62" x14ac:dyDescent="0.2">
      <c r="C389" s="58" t="s">
        <v>666</v>
      </c>
      <c r="D389" s="59"/>
      <c r="E389" s="59"/>
      <c r="G389" s="16">
        <v>0</v>
      </c>
    </row>
    <row r="390" spans="1:62" x14ac:dyDescent="0.2">
      <c r="A390" s="4" t="s">
        <v>126</v>
      </c>
      <c r="B390" s="4" t="s">
        <v>300</v>
      </c>
      <c r="C390" s="56" t="s">
        <v>697</v>
      </c>
      <c r="D390" s="57"/>
      <c r="E390" s="57"/>
      <c r="F390" s="4" t="s">
        <v>828</v>
      </c>
      <c r="G390" s="15">
        <v>40.644350000000003</v>
      </c>
      <c r="H390" s="15">
        <v>0</v>
      </c>
      <c r="I390" s="15">
        <f>G390*AO390</f>
        <v>0</v>
      </c>
      <c r="J390" s="15">
        <f>G390*AP390</f>
        <v>0</v>
      </c>
      <c r="K390" s="15">
        <f>G390*H390</f>
        <v>0</v>
      </c>
      <c r="L390" s="27" t="s">
        <v>846</v>
      </c>
      <c r="Z390" s="32">
        <f>IF(AQ390="5",BJ390,0)</f>
        <v>0</v>
      </c>
      <c r="AB390" s="32">
        <f>IF(AQ390="1",BH390,0)</f>
        <v>0</v>
      </c>
      <c r="AC390" s="32">
        <f>IF(AQ390="1",BI390,0)</f>
        <v>0</v>
      </c>
      <c r="AD390" s="32">
        <f>IF(AQ390="7",BH390,0)</f>
        <v>0</v>
      </c>
      <c r="AE390" s="32">
        <f>IF(AQ390="7",BI390,0)</f>
        <v>0</v>
      </c>
      <c r="AF390" s="32">
        <f>IF(AQ390="2",BH390,0)</f>
        <v>0</v>
      </c>
      <c r="AG390" s="32">
        <f>IF(AQ390="2",BI390,0)</f>
        <v>0</v>
      </c>
      <c r="AH390" s="32">
        <f>IF(AQ390="0",BJ390,0)</f>
        <v>0</v>
      </c>
      <c r="AI390" s="28"/>
      <c r="AJ390" s="15">
        <f>IF(AN390=0,K390,0)</f>
        <v>0</v>
      </c>
      <c r="AK390" s="15">
        <f>IF(AN390=15,K390,0)</f>
        <v>0</v>
      </c>
      <c r="AL390" s="15">
        <f>IF(AN390=21,K390,0)</f>
        <v>0</v>
      </c>
      <c r="AN390" s="32">
        <v>21</v>
      </c>
      <c r="AO390" s="32">
        <f>H390*0</f>
        <v>0</v>
      </c>
      <c r="AP390" s="32">
        <f>H390*(1-0)</f>
        <v>0</v>
      </c>
      <c r="AQ390" s="27" t="s">
        <v>11</v>
      </c>
      <c r="AV390" s="32">
        <f>AW390+AX390</f>
        <v>0</v>
      </c>
      <c r="AW390" s="32">
        <f>G390*AO390</f>
        <v>0</v>
      </c>
      <c r="AX390" s="32">
        <f>G390*AP390</f>
        <v>0</v>
      </c>
      <c r="AY390" s="33" t="s">
        <v>880</v>
      </c>
      <c r="AZ390" s="33" t="s">
        <v>894</v>
      </c>
      <c r="BA390" s="28" t="s">
        <v>895</v>
      </c>
      <c r="BC390" s="32">
        <f>AW390+AX390</f>
        <v>0</v>
      </c>
      <c r="BD390" s="32">
        <f>H390/(100-BE390)*100</f>
        <v>0</v>
      </c>
      <c r="BE390" s="32">
        <v>0</v>
      </c>
      <c r="BF390" s="32">
        <f>388</f>
        <v>388</v>
      </c>
      <c r="BH390" s="15">
        <f>G390*AO390</f>
        <v>0</v>
      </c>
      <c r="BI390" s="15">
        <f>G390*AP390</f>
        <v>0</v>
      </c>
      <c r="BJ390" s="15">
        <f>G390*H390</f>
        <v>0</v>
      </c>
    </row>
    <row r="391" spans="1:62" x14ac:dyDescent="0.2">
      <c r="C391" s="58" t="s">
        <v>698</v>
      </c>
      <c r="D391" s="59"/>
      <c r="E391" s="59"/>
      <c r="G391" s="16">
        <v>40.644350000000003</v>
      </c>
    </row>
    <row r="392" spans="1:62" x14ac:dyDescent="0.2">
      <c r="A392" s="5"/>
      <c r="B392" s="13" t="s">
        <v>101</v>
      </c>
      <c r="C392" s="66" t="s">
        <v>699</v>
      </c>
      <c r="D392" s="67"/>
      <c r="E392" s="67"/>
      <c r="F392" s="5" t="s">
        <v>6</v>
      </c>
      <c r="G392" s="5" t="s">
        <v>6</v>
      </c>
      <c r="H392" s="5" t="s">
        <v>6</v>
      </c>
      <c r="I392" s="35">
        <f>SUM(I393:I409)</f>
        <v>0</v>
      </c>
      <c r="J392" s="35">
        <f>SUM(J393:J409)</f>
        <v>0</v>
      </c>
      <c r="K392" s="35">
        <f>SUM(K393:K409)</f>
        <v>0</v>
      </c>
      <c r="L392" s="28"/>
      <c r="AI392" s="28"/>
      <c r="AS392" s="35">
        <f>SUM(AJ393:AJ409)</f>
        <v>0</v>
      </c>
      <c r="AT392" s="35">
        <f>SUM(AK393:AK409)</f>
        <v>0</v>
      </c>
      <c r="AU392" s="35">
        <f>SUM(AL393:AL409)</f>
        <v>0</v>
      </c>
    </row>
    <row r="393" spans="1:62" x14ac:dyDescent="0.2">
      <c r="A393" s="4" t="s">
        <v>127</v>
      </c>
      <c r="B393" s="4" t="s">
        <v>301</v>
      </c>
      <c r="C393" s="56" t="s">
        <v>700</v>
      </c>
      <c r="D393" s="57"/>
      <c r="E393" s="57"/>
      <c r="F393" s="4" t="s">
        <v>823</v>
      </c>
      <c r="G393" s="15">
        <v>963</v>
      </c>
      <c r="H393" s="15">
        <v>0</v>
      </c>
      <c r="I393" s="15">
        <f>G393*AO393</f>
        <v>0</v>
      </c>
      <c r="J393" s="15">
        <f>G393*AP393</f>
        <v>0</v>
      </c>
      <c r="K393" s="15">
        <f>G393*H393</f>
        <v>0</v>
      </c>
      <c r="L393" s="27" t="s">
        <v>846</v>
      </c>
      <c r="Z393" s="32">
        <f>IF(AQ393="5",BJ393,0)</f>
        <v>0</v>
      </c>
      <c r="AB393" s="32">
        <f>IF(AQ393="1",BH393,0)</f>
        <v>0</v>
      </c>
      <c r="AC393" s="32">
        <f>IF(AQ393="1",BI393,0)</f>
        <v>0</v>
      </c>
      <c r="AD393" s="32">
        <f>IF(AQ393="7",BH393,0)</f>
        <v>0</v>
      </c>
      <c r="AE393" s="32">
        <f>IF(AQ393="7",BI393,0)</f>
        <v>0</v>
      </c>
      <c r="AF393" s="32">
        <f>IF(AQ393="2",BH393,0)</f>
        <v>0</v>
      </c>
      <c r="AG393" s="32">
        <f>IF(AQ393="2",BI393,0)</f>
        <v>0</v>
      </c>
      <c r="AH393" s="32">
        <f>IF(AQ393="0",BJ393,0)</f>
        <v>0</v>
      </c>
      <c r="AI393" s="28"/>
      <c r="AJ393" s="15">
        <f>IF(AN393=0,K393,0)</f>
        <v>0</v>
      </c>
      <c r="AK393" s="15">
        <f>IF(AN393=15,K393,0)</f>
        <v>0</v>
      </c>
      <c r="AL393" s="15">
        <f>IF(AN393=21,K393,0)</f>
        <v>0</v>
      </c>
      <c r="AN393" s="32">
        <v>21</v>
      </c>
      <c r="AO393" s="32">
        <f>H393*0.00155369974752379</f>
        <v>0</v>
      </c>
      <c r="AP393" s="32">
        <f>H393*(1-0.00155369974752379)</f>
        <v>0</v>
      </c>
      <c r="AQ393" s="27" t="s">
        <v>7</v>
      </c>
      <c r="AV393" s="32">
        <f>AW393+AX393</f>
        <v>0</v>
      </c>
      <c r="AW393" s="32">
        <f>G393*AO393</f>
        <v>0</v>
      </c>
      <c r="AX393" s="32">
        <f>G393*AP393</f>
        <v>0</v>
      </c>
      <c r="AY393" s="33" t="s">
        <v>881</v>
      </c>
      <c r="AZ393" s="33" t="s">
        <v>894</v>
      </c>
      <c r="BA393" s="28" t="s">
        <v>895</v>
      </c>
      <c r="BC393" s="32">
        <f>AW393+AX393</f>
        <v>0</v>
      </c>
      <c r="BD393" s="32">
        <f>H393/(100-BE393)*100</f>
        <v>0</v>
      </c>
      <c r="BE393" s="32">
        <v>0</v>
      </c>
      <c r="BF393" s="32">
        <f>391</f>
        <v>391</v>
      </c>
      <c r="BH393" s="15">
        <f>G393*AO393</f>
        <v>0</v>
      </c>
      <c r="BI393" s="15">
        <f>G393*AP393</f>
        <v>0</v>
      </c>
      <c r="BJ393" s="15">
        <f>G393*H393</f>
        <v>0</v>
      </c>
    </row>
    <row r="394" spans="1:62" x14ac:dyDescent="0.2">
      <c r="C394" s="58" t="s">
        <v>701</v>
      </c>
      <c r="D394" s="59"/>
      <c r="E394" s="59"/>
      <c r="G394" s="16">
        <v>963</v>
      </c>
    </row>
    <row r="395" spans="1:62" x14ac:dyDescent="0.2">
      <c r="A395" s="4" t="s">
        <v>128</v>
      </c>
      <c r="B395" s="4" t="s">
        <v>302</v>
      </c>
      <c r="C395" s="56" t="s">
        <v>702</v>
      </c>
      <c r="D395" s="57"/>
      <c r="E395" s="57"/>
      <c r="F395" s="4" t="s">
        <v>823</v>
      </c>
      <c r="G395" s="15">
        <v>559</v>
      </c>
      <c r="H395" s="15">
        <v>0</v>
      </c>
      <c r="I395" s="15">
        <f>G395*AO395</f>
        <v>0</v>
      </c>
      <c r="J395" s="15">
        <f>G395*AP395</f>
        <v>0</v>
      </c>
      <c r="K395" s="15">
        <f>G395*H395</f>
        <v>0</v>
      </c>
      <c r="L395" s="27" t="s">
        <v>846</v>
      </c>
      <c r="Z395" s="32">
        <f>IF(AQ395="5",BJ395,0)</f>
        <v>0</v>
      </c>
      <c r="AB395" s="32">
        <f>IF(AQ395="1",BH395,0)</f>
        <v>0</v>
      </c>
      <c r="AC395" s="32">
        <f>IF(AQ395="1",BI395,0)</f>
        <v>0</v>
      </c>
      <c r="AD395" s="32">
        <f>IF(AQ395="7",BH395,0)</f>
        <v>0</v>
      </c>
      <c r="AE395" s="32">
        <f>IF(AQ395="7",BI395,0)</f>
        <v>0</v>
      </c>
      <c r="AF395" s="32">
        <f>IF(AQ395="2",BH395,0)</f>
        <v>0</v>
      </c>
      <c r="AG395" s="32">
        <f>IF(AQ395="2",BI395,0)</f>
        <v>0</v>
      </c>
      <c r="AH395" s="32">
        <f>IF(AQ395="0",BJ395,0)</f>
        <v>0</v>
      </c>
      <c r="AI395" s="28"/>
      <c r="AJ395" s="15">
        <f>IF(AN395=0,K395,0)</f>
        <v>0</v>
      </c>
      <c r="AK395" s="15">
        <f>IF(AN395=15,K395,0)</f>
        <v>0</v>
      </c>
      <c r="AL395" s="15">
        <f>IF(AN395=21,K395,0)</f>
        <v>0</v>
      </c>
      <c r="AN395" s="32">
        <v>21</v>
      </c>
      <c r="AO395" s="32">
        <f>H395*0.0197556008146639</f>
        <v>0</v>
      </c>
      <c r="AP395" s="32">
        <f>H395*(1-0.0197556008146639)</f>
        <v>0</v>
      </c>
      <c r="AQ395" s="27" t="s">
        <v>7</v>
      </c>
      <c r="AV395" s="32">
        <f>AW395+AX395</f>
        <v>0</v>
      </c>
      <c r="AW395" s="32">
        <f>G395*AO395</f>
        <v>0</v>
      </c>
      <c r="AX395" s="32">
        <f>G395*AP395</f>
        <v>0</v>
      </c>
      <c r="AY395" s="33" t="s">
        <v>881</v>
      </c>
      <c r="AZ395" s="33" t="s">
        <v>894</v>
      </c>
      <c r="BA395" s="28" t="s">
        <v>895</v>
      </c>
      <c r="BC395" s="32">
        <f>AW395+AX395</f>
        <v>0</v>
      </c>
      <c r="BD395" s="32">
        <f>H395/(100-BE395)*100</f>
        <v>0</v>
      </c>
      <c r="BE395" s="32">
        <v>0</v>
      </c>
      <c r="BF395" s="32">
        <f>393</f>
        <v>393</v>
      </c>
      <c r="BH395" s="15">
        <f>G395*AO395</f>
        <v>0</v>
      </c>
      <c r="BI395" s="15">
        <f>G395*AP395</f>
        <v>0</v>
      </c>
      <c r="BJ395" s="15">
        <f>G395*H395</f>
        <v>0</v>
      </c>
    </row>
    <row r="396" spans="1:62" x14ac:dyDescent="0.2">
      <c r="C396" s="58" t="s">
        <v>703</v>
      </c>
      <c r="D396" s="59"/>
      <c r="E396" s="59"/>
      <c r="G396" s="16">
        <v>559</v>
      </c>
    </row>
    <row r="397" spans="1:62" x14ac:dyDescent="0.2">
      <c r="A397" s="4" t="s">
        <v>129</v>
      </c>
      <c r="B397" s="4" t="s">
        <v>302</v>
      </c>
      <c r="C397" s="56" t="s">
        <v>704</v>
      </c>
      <c r="D397" s="57"/>
      <c r="E397" s="57"/>
      <c r="F397" s="4" t="s">
        <v>823</v>
      </c>
      <c r="G397" s="15">
        <v>559</v>
      </c>
      <c r="H397" s="15">
        <v>0</v>
      </c>
      <c r="I397" s="15">
        <f>G397*AO397</f>
        <v>0</v>
      </c>
      <c r="J397" s="15">
        <f>G397*AP397</f>
        <v>0</v>
      </c>
      <c r="K397" s="15">
        <f>G397*H397</f>
        <v>0</v>
      </c>
      <c r="L397" s="27" t="s">
        <v>846</v>
      </c>
      <c r="Z397" s="32">
        <f>IF(AQ397="5",BJ397,0)</f>
        <v>0</v>
      </c>
      <c r="AB397" s="32">
        <f>IF(AQ397="1",BH397,0)</f>
        <v>0</v>
      </c>
      <c r="AC397" s="32">
        <f>IF(AQ397="1",BI397,0)</f>
        <v>0</v>
      </c>
      <c r="AD397" s="32">
        <f>IF(AQ397="7",BH397,0)</f>
        <v>0</v>
      </c>
      <c r="AE397" s="32">
        <f>IF(AQ397="7",BI397,0)</f>
        <v>0</v>
      </c>
      <c r="AF397" s="32">
        <f>IF(AQ397="2",BH397,0)</f>
        <v>0</v>
      </c>
      <c r="AG397" s="32">
        <f>IF(AQ397="2",BI397,0)</f>
        <v>0</v>
      </c>
      <c r="AH397" s="32">
        <f>IF(AQ397="0",BJ397,0)</f>
        <v>0</v>
      </c>
      <c r="AI397" s="28"/>
      <c r="AJ397" s="15">
        <f>IF(AN397=0,K397,0)</f>
        <v>0</v>
      </c>
      <c r="AK397" s="15">
        <f>IF(AN397=15,K397,0)</f>
        <v>0</v>
      </c>
      <c r="AL397" s="15">
        <f>IF(AN397=21,K397,0)</f>
        <v>0</v>
      </c>
      <c r="AN397" s="32">
        <v>21</v>
      </c>
      <c r="AO397" s="32">
        <f>H397*0.0197556008146639</f>
        <v>0</v>
      </c>
      <c r="AP397" s="32">
        <f>H397*(1-0.0197556008146639)</f>
        <v>0</v>
      </c>
      <c r="AQ397" s="27" t="s">
        <v>7</v>
      </c>
      <c r="AV397" s="32">
        <f>AW397+AX397</f>
        <v>0</v>
      </c>
      <c r="AW397" s="32">
        <f>G397*AO397</f>
        <v>0</v>
      </c>
      <c r="AX397" s="32">
        <f>G397*AP397</f>
        <v>0</v>
      </c>
      <c r="AY397" s="33" t="s">
        <v>881</v>
      </c>
      <c r="AZ397" s="33" t="s">
        <v>894</v>
      </c>
      <c r="BA397" s="28" t="s">
        <v>895</v>
      </c>
      <c r="BC397" s="32">
        <f>AW397+AX397</f>
        <v>0</v>
      </c>
      <c r="BD397" s="32">
        <f>H397/(100-BE397)*100</f>
        <v>0</v>
      </c>
      <c r="BE397" s="32">
        <v>0</v>
      </c>
      <c r="BF397" s="32">
        <f>395</f>
        <v>395</v>
      </c>
      <c r="BH397" s="15">
        <f>G397*AO397</f>
        <v>0</v>
      </c>
      <c r="BI397" s="15">
        <f>G397*AP397</f>
        <v>0</v>
      </c>
      <c r="BJ397" s="15">
        <f>G397*H397</f>
        <v>0</v>
      </c>
    </row>
    <row r="398" spans="1:62" x14ac:dyDescent="0.2">
      <c r="C398" s="58" t="s">
        <v>705</v>
      </c>
      <c r="D398" s="59"/>
      <c r="E398" s="59"/>
      <c r="G398" s="16">
        <v>559</v>
      </c>
    </row>
    <row r="399" spans="1:62" x14ac:dyDescent="0.2">
      <c r="A399" s="4" t="s">
        <v>130</v>
      </c>
      <c r="B399" s="4" t="s">
        <v>303</v>
      </c>
      <c r="C399" s="56" t="s">
        <v>706</v>
      </c>
      <c r="D399" s="57"/>
      <c r="E399" s="57"/>
      <c r="F399" s="4" t="s">
        <v>823</v>
      </c>
      <c r="G399" s="15">
        <v>2375.5500000000002</v>
      </c>
      <c r="H399" s="15">
        <v>0</v>
      </c>
      <c r="I399" s="15">
        <f>G399*AO399</f>
        <v>0</v>
      </c>
      <c r="J399" s="15">
        <f>G399*AP399</f>
        <v>0</v>
      </c>
      <c r="K399" s="15">
        <f>G399*H399</f>
        <v>0</v>
      </c>
      <c r="L399" s="27"/>
      <c r="Z399" s="32">
        <f>IF(AQ399="5",BJ399,0)</f>
        <v>0</v>
      </c>
      <c r="AB399" s="32">
        <f>IF(AQ399="1",BH399,0)</f>
        <v>0</v>
      </c>
      <c r="AC399" s="32">
        <f>IF(AQ399="1",BI399,0)</f>
        <v>0</v>
      </c>
      <c r="AD399" s="32">
        <f>IF(AQ399="7",BH399,0)</f>
        <v>0</v>
      </c>
      <c r="AE399" s="32">
        <f>IF(AQ399="7",BI399,0)</f>
        <v>0</v>
      </c>
      <c r="AF399" s="32">
        <f>IF(AQ399="2",BH399,0)</f>
        <v>0</v>
      </c>
      <c r="AG399" s="32">
        <f>IF(AQ399="2",BI399,0)</f>
        <v>0</v>
      </c>
      <c r="AH399" s="32">
        <f>IF(AQ399="0",BJ399,0)</f>
        <v>0</v>
      </c>
      <c r="AI399" s="28"/>
      <c r="AJ399" s="15">
        <f>IF(AN399=0,K399,0)</f>
        <v>0</v>
      </c>
      <c r="AK399" s="15">
        <f>IF(AN399=15,K399,0)</f>
        <v>0</v>
      </c>
      <c r="AL399" s="15">
        <f>IF(AN399=21,K399,0)</f>
        <v>0</v>
      </c>
      <c r="AN399" s="32">
        <v>21</v>
      </c>
      <c r="AO399" s="32">
        <f>H399*0</f>
        <v>0</v>
      </c>
      <c r="AP399" s="32">
        <f>H399*(1-0)</f>
        <v>0</v>
      </c>
      <c r="AQ399" s="27" t="s">
        <v>7</v>
      </c>
      <c r="AV399" s="32">
        <f>AW399+AX399</f>
        <v>0</v>
      </c>
      <c r="AW399" s="32">
        <f>G399*AO399</f>
        <v>0</v>
      </c>
      <c r="AX399" s="32">
        <f>G399*AP399</f>
        <v>0</v>
      </c>
      <c r="AY399" s="33" t="s">
        <v>881</v>
      </c>
      <c r="AZ399" s="33" t="s">
        <v>894</v>
      </c>
      <c r="BA399" s="28" t="s">
        <v>895</v>
      </c>
      <c r="BC399" s="32">
        <f>AW399+AX399</f>
        <v>0</v>
      </c>
      <c r="BD399" s="32">
        <f>H399/(100-BE399)*100</f>
        <v>0</v>
      </c>
      <c r="BE399" s="32">
        <v>0</v>
      </c>
      <c r="BF399" s="32">
        <f>397</f>
        <v>397</v>
      </c>
      <c r="BH399" s="15">
        <f>G399*AO399</f>
        <v>0</v>
      </c>
      <c r="BI399" s="15">
        <f>G399*AP399</f>
        <v>0</v>
      </c>
      <c r="BJ399" s="15">
        <f>G399*H399</f>
        <v>0</v>
      </c>
    </row>
    <row r="400" spans="1:62" x14ac:dyDescent="0.2">
      <c r="C400" s="58" t="s">
        <v>707</v>
      </c>
      <c r="D400" s="59"/>
      <c r="E400" s="59"/>
      <c r="G400" s="16">
        <v>153.69999999999999</v>
      </c>
    </row>
    <row r="401" spans="1:62" x14ac:dyDescent="0.2">
      <c r="C401" s="58" t="s">
        <v>708</v>
      </c>
      <c r="D401" s="59"/>
      <c r="E401" s="59"/>
      <c r="G401" s="16">
        <v>654.6</v>
      </c>
    </row>
    <row r="402" spans="1:62" x14ac:dyDescent="0.2">
      <c r="C402" s="58" t="s">
        <v>709</v>
      </c>
      <c r="D402" s="59"/>
      <c r="E402" s="59"/>
      <c r="G402" s="16">
        <v>93.9</v>
      </c>
    </row>
    <row r="403" spans="1:62" x14ac:dyDescent="0.2">
      <c r="C403" s="58" t="s">
        <v>649</v>
      </c>
      <c r="D403" s="59"/>
      <c r="E403" s="59"/>
      <c r="G403" s="16">
        <v>0</v>
      </c>
    </row>
    <row r="404" spans="1:62" x14ac:dyDescent="0.2">
      <c r="C404" s="58" t="s">
        <v>710</v>
      </c>
      <c r="D404" s="59"/>
      <c r="E404" s="59"/>
      <c r="G404" s="16">
        <v>541.9</v>
      </c>
    </row>
    <row r="405" spans="1:62" x14ac:dyDescent="0.2">
      <c r="C405" s="58" t="s">
        <v>711</v>
      </c>
      <c r="D405" s="59"/>
      <c r="E405" s="59"/>
      <c r="G405" s="16">
        <v>176.85</v>
      </c>
    </row>
    <row r="406" spans="1:62" x14ac:dyDescent="0.2">
      <c r="C406" s="58" t="s">
        <v>658</v>
      </c>
      <c r="D406" s="59"/>
      <c r="E406" s="59"/>
      <c r="G406" s="16">
        <v>0</v>
      </c>
    </row>
    <row r="407" spans="1:62" x14ac:dyDescent="0.2">
      <c r="C407" s="58" t="s">
        <v>712</v>
      </c>
      <c r="D407" s="59"/>
      <c r="E407" s="59"/>
      <c r="G407" s="16">
        <v>754.6</v>
      </c>
    </row>
    <row r="408" spans="1:62" x14ac:dyDescent="0.2">
      <c r="C408" s="58" t="s">
        <v>666</v>
      </c>
      <c r="D408" s="59"/>
      <c r="E408" s="59"/>
      <c r="G408" s="16">
        <v>0</v>
      </c>
    </row>
    <row r="409" spans="1:62" x14ac:dyDescent="0.2">
      <c r="A409" s="4" t="s">
        <v>131</v>
      </c>
      <c r="B409" s="4" t="s">
        <v>304</v>
      </c>
      <c r="C409" s="56" t="s">
        <v>713</v>
      </c>
      <c r="D409" s="57"/>
      <c r="E409" s="57"/>
      <c r="F409" s="4" t="s">
        <v>823</v>
      </c>
      <c r="G409" s="15">
        <v>2375.5500000000002</v>
      </c>
      <c r="H409" s="15">
        <v>0</v>
      </c>
      <c r="I409" s="15">
        <f>G409*AO409</f>
        <v>0</v>
      </c>
      <c r="J409" s="15">
        <f>G409*AP409</f>
        <v>0</v>
      </c>
      <c r="K409" s="15">
        <f>G409*H409</f>
        <v>0</v>
      </c>
      <c r="L409" s="27" t="s">
        <v>846</v>
      </c>
      <c r="Z409" s="32">
        <f>IF(AQ409="5",BJ409,0)</f>
        <v>0</v>
      </c>
      <c r="AB409" s="32">
        <f>IF(AQ409="1",BH409,0)</f>
        <v>0</v>
      </c>
      <c r="AC409" s="32">
        <f>IF(AQ409="1",BI409,0)</f>
        <v>0</v>
      </c>
      <c r="AD409" s="32">
        <f>IF(AQ409="7",BH409,0)</f>
        <v>0</v>
      </c>
      <c r="AE409" s="32">
        <f>IF(AQ409="7",BI409,0)</f>
        <v>0</v>
      </c>
      <c r="AF409" s="32">
        <f>IF(AQ409="2",BH409,0)</f>
        <v>0</v>
      </c>
      <c r="AG409" s="32">
        <f>IF(AQ409="2",BI409,0)</f>
        <v>0</v>
      </c>
      <c r="AH409" s="32">
        <f>IF(AQ409="0",BJ409,0)</f>
        <v>0</v>
      </c>
      <c r="AI409" s="28"/>
      <c r="AJ409" s="15">
        <f>IF(AN409=0,K409,0)</f>
        <v>0</v>
      </c>
      <c r="AK409" s="15">
        <f>IF(AN409=15,K409,0)</f>
        <v>0</v>
      </c>
      <c r="AL409" s="15">
        <f>IF(AN409=21,K409,0)</f>
        <v>0</v>
      </c>
      <c r="AN409" s="32">
        <v>21</v>
      </c>
      <c r="AO409" s="32">
        <f>H409*0</f>
        <v>0</v>
      </c>
      <c r="AP409" s="32">
        <f>H409*(1-0)</f>
        <v>0</v>
      </c>
      <c r="AQ409" s="27" t="s">
        <v>7</v>
      </c>
      <c r="AV409" s="32">
        <f>AW409+AX409</f>
        <v>0</v>
      </c>
      <c r="AW409" s="32">
        <f>G409*AO409</f>
        <v>0</v>
      </c>
      <c r="AX409" s="32">
        <f>G409*AP409</f>
        <v>0</v>
      </c>
      <c r="AY409" s="33" t="s">
        <v>881</v>
      </c>
      <c r="AZ409" s="33" t="s">
        <v>894</v>
      </c>
      <c r="BA409" s="28" t="s">
        <v>895</v>
      </c>
      <c r="BC409" s="32">
        <f>AW409+AX409</f>
        <v>0</v>
      </c>
      <c r="BD409" s="32">
        <f>H409/(100-BE409)*100</f>
        <v>0</v>
      </c>
      <c r="BE409" s="32">
        <v>0</v>
      </c>
      <c r="BF409" s="32">
        <f>407</f>
        <v>407</v>
      </c>
      <c r="BH409" s="15">
        <f>G409*AO409</f>
        <v>0</v>
      </c>
      <c r="BI409" s="15">
        <f>G409*AP409</f>
        <v>0</v>
      </c>
      <c r="BJ409" s="15">
        <f>G409*H409</f>
        <v>0</v>
      </c>
    </row>
    <row r="410" spans="1:62" x14ac:dyDescent="0.2">
      <c r="C410" s="58" t="s">
        <v>714</v>
      </c>
      <c r="D410" s="59"/>
      <c r="E410" s="59"/>
      <c r="G410" s="16">
        <v>2375.5500000000002</v>
      </c>
    </row>
    <row r="411" spans="1:62" x14ac:dyDescent="0.2">
      <c r="A411" s="5"/>
      <c r="B411" s="13" t="s">
        <v>102</v>
      </c>
      <c r="C411" s="66" t="s">
        <v>715</v>
      </c>
      <c r="D411" s="67"/>
      <c r="E411" s="67"/>
      <c r="F411" s="5" t="s">
        <v>6</v>
      </c>
      <c r="G411" s="5" t="s">
        <v>6</v>
      </c>
      <c r="H411" s="5" t="s">
        <v>6</v>
      </c>
      <c r="I411" s="35">
        <f>SUM(I412:I463)</f>
        <v>0</v>
      </c>
      <c r="J411" s="35">
        <f>SUM(J412:J463)</f>
        <v>0</v>
      </c>
      <c r="K411" s="35">
        <f>SUM(K412:K463)</f>
        <v>0</v>
      </c>
      <c r="L411" s="28"/>
      <c r="AI411" s="28"/>
      <c r="AS411" s="35">
        <f>SUM(AJ412:AJ463)</f>
        <v>0</v>
      </c>
      <c r="AT411" s="35">
        <f>SUM(AK412:AK463)</f>
        <v>0</v>
      </c>
      <c r="AU411" s="35">
        <f>SUM(AL412:AL463)</f>
        <v>0</v>
      </c>
    </row>
    <row r="412" spans="1:62" x14ac:dyDescent="0.2">
      <c r="A412" s="4" t="s">
        <v>132</v>
      </c>
      <c r="B412" s="4" t="s">
        <v>305</v>
      </c>
      <c r="C412" s="56" t="s">
        <v>716</v>
      </c>
      <c r="D412" s="57"/>
      <c r="E412" s="57"/>
      <c r="F412" s="4" t="s">
        <v>824</v>
      </c>
      <c r="G412" s="15">
        <v>9.27</v>
      </c>
      <c r="H412" s="15">
        <v>0</v>
      </c>
      <c r="I412" s="15">
        <f>G412*AO412</f>
        <v>0</v>
      </c>
      <c r="J412" s="15">
        <f>G412*AP412</f>
        <v>0</v>
      </c>
      <c r="K412" s="15">
        <f>G412*H412</f>
        <v>0</v>
      </c>
      <c r="L412" s="27" t="s">
        <v>846</v>
      </c>
      <c r="Z412" s="32">
        <f>IF(AQ412="5",BJ412,0)</f>
        <v>0</v>
      </c>
      <c r="AB412" s="32">
        <f>IF(AQ412="1",BH412,0)</f>
        <v>0</v>
      </c>
      <c r="AC412" s="32">
        <f>IF(AQ412="1",BI412,0)</f>
        <v>0</v>
      </c>
      <c r="AD412" s="32">
        <f>IF(AQ412="7",BH412,0)</f>
        <v>0</v>
      </c>
      <c r="AE412" s="32">
        <f>IF(AQ412="7",BI412,0)</f>
        <v>0</v>
      </c>
      <c r="AF412" s="32">
        <f>IF(AQ412="2",BH412,0)</f>
        <v>0</v>
      </c>
      <c r="AG412" s="32">
        <f>IF(AQ412="2",BI412,0)</f>
        <v>0</v>
      </c>
      <c r="AH412" s="32">
        <f>IF(AQ412="0",BJ412,0)</f>
        <v>0</v>
      </c>
      <c r="AI412" s="28"/>
      <c r="AJ412" s="15">
        <f>IF(AN412=0,K412,0)</f>
        <v>0</v>
      </c>
      <c r="AK412" s="15">
        <f>IF(AN412=15,K412,0)</f>
        <v>0</v>
      </c>
      <c r="AL412" s="15">
        <f>IF(AN412=21,K412,0)</f>
        <v>0</v>
      </c>
      <c r="AN412" s="32">
        <v>21</v>
      </c>
      <c r="AO412" s="32">
        <f>H412*0</f>
        <v>0</v>
      </c>
      <c r="AP412" s="32">
        <f>H412*(1-0)</f>
        <v>0</v>
      </c>
      <c r="AQ412" s="27" t="s">
        <v>7</v>
      </c>
      <c r="AV412" s="32">
        <f>AW412+AX412</f>
        <v>0</v>
      </c>
      <c r="AW412" s="32">
        <f>G412*AO412</f>
        <v>0</v>
      </c>
      <c r="AX412" s="32">
        <f>G412*AP412</f>
        <v>0</v>
      </c>
      <c r="AY412" s="33" t="s">
        <v>882</v>
      </c>
      <c r="AZ412" s="33" t="s">
        <v>894</v>
      </c>
      <c r="BA412" s="28" t="s">
        <v>895</v>
      </c>
      <c r="BC412" s="32">
        <f>AW412+AX412</f>
        <v>0</v>
      </c>
      <c r="BD412" s="32">
        <f>H412/(100-BE412)*100</f>
        <v>0</v>
      </c>
      <c r="BE412" s="32">
        <v>0</v>
      </c>
      <c r="BF412" s="32">
        <f>410</f>
        <v>410</v>
      </c>
      <c r="BH412" s="15">
        <f>G412*AO412</f>
        <v>0</v>
      </c>
      <c r="BI412" s="15">
        <f>G412*AP412</f>
        <v>0</v>
      </c>
      <c r="BJ412" s="15">
        <f>G412*H412</f>
        <v>0</v>
      </c>
    </row>
    <row r="413" spans="1:62" x14ac:dyDescent="0.2">
      <c r="C413" s="58" t="s">
        <v>717</v>
      </c>
      <c r="D413" s="59"/>
      <c r="E413" s="59"/>
      <c r="G413" s="16">
        <v>9.27</v>
      </c>
    </row>
    <row r="414" spans="1:62" x14ac:dyDescent="0.2">
      <c r="A414" s="4" t="s">
        <v>133</v>
      </c>
      <c r="B414" s="4" t="s">
        <v>306</v>
      </c>
      <c r="C414" s="56" t="s">
        <v>718</v>
      </c>
      <c r="D414" s="57"/>
      <c r="E414" s="57"/>
      <c r="F414" s="4" t="s">
        <v>823</v>
      </c>
      <c r="G414" s="15">
        <v>61.92</v>
      </c>
      <c r="H414" s="15">
        <v>0</v>
      </c>
      <c r="I414" s="15">
        <f>G414*AO414</f>
        <v>0</v>
      </c>
      <c r="J414" s="15">
        <f>G414*AP414</f>
        <v>0</v>
      </c>
      <c r="K414" s="15">
        <f>G414*H414</f>
        <v>0</v>
      </c>
      <c r="L414" s="27" t="s">
        <v>846</v>
      </c>
      <c r="Z414" s="32">
        <f>IF(AQ414="5",BJ414,0)</f>
        <v>0</v>
      </c>
      <c r="AB414" s="32">
        <f>IF(AQ414="1",BH414,0)</f>
        <v>0</v>
      </c>
      <c r="AC414" s="32">
        <f>IF(AQ414="1",BI414,0)</f>
        <v>0</v>
      </c>
      <c r="AD414" s="32">
        <f>IF(AQ414="7",BH414,0)</f>
        <v>0</v>
      </c>
      <c r="AE414" s="32">
        <f>IF(AQ414="7",BI414,0)</f>
        <v>0</v>
      </c>
      <c r="AF414" s="32">
        <f>IF(AQ414="2",BH414,0)</f>
        <v>0</v>
      </c>
      <c r="AG414" s="32">
        <f>IF(AQ414="2",BI414,0)</f>
        <v>0</v>
      </c>
      <c r="AH414" s="32">
        <f>IF(AQ414="0",BJ414,0)</f>
        <v>0</v>
      </c>
      <c r="AI414" s="28"/>
      <c r="AJ414" s="15">
        <f>IF(AN414=0,K414,0)</f>
        <v>0</v>
      </c>
      <c r="AK414" s="15">
        <f>IF(AN414=15,K414,0)</f>
        <v>0</v>
      </c>
      <c r="AL414" s="15">
        <f>IF(AN414=21,K414,0)</f>
        <v>0</v>
      </c>
      <c r="AN414" s="32">
        <v>21</v>
      </c>
      <c r="AO414" s="32">
        <f>H414*0.0772610059354005</f>
        <v>0</v>
      </c>
      <c r="AP414" s="32">
        <f>H414*(1-0.0772610059354005)</f>
        <v>0</v>
      </c>
      <c r="AQ414" s="27" t="s">
        <v>7</v>
      </c>
      <c r="AV414" s="32">
        <f>AW414+AX414</f>
        <v>0</v>
      </c>
      <c r="AW414" s="32">
        <f>G414*AO414</f>
        <v>0</v>
      </c>
      <c r="AX414" s="32">
        <f>G414*AP414</f>
        <v>0</v>
      </c>
      <c r="AY414" s="33" t="s">
        <v>882</v>
      </c>
      <c r="AZ414" s="33" t="s">
        <v>894</v>
      </c>
      <c r="BA414" s="28" t="s">
        <v>895</v>
      </c>
      <c r="BC414" s="32">
        <f>AW414+AX414</f>
        <v>0</v>
      </c>
      <c r="BD414" s="32">
        <f>H414/(100-BE414)*100</f>
        <v>0</v>
      </c>
      <c r="BE414" s="32">
        <v>0</v>
      </c>
      <c r="BF414" s="32">
        <f>412</f>
        <v>412</v>
      </c>
      <c r="BH414" s="15">
        <f>G414*AO414</f>
        <v>0</v>
      </c>
      <c r="BI414" s="15">
        <f>G414*AP414</f>
        <v>0</v>
      </c>
      <c r="BJ414" s="15">
        <f>G414*H414</f>
        <v>0</v>
      </c>
    </row>
    <row r="415" spans="1:62" x14ac:dyDescent="0.2">
      <c r="C415" s="58" t="s">
        <v>719</v>
      </c>
      <c r="D415" s="59"/>
      <c r="E415" s="59"/>
      <c r="G415" s="16">
        <v>47.52</v>
      </c>
    </row>
    <row r="416" spans="1:62" x14ac:dyDescent="0.2">
      <c r="C416" s="58" t="s">
        <v>720</v>
      </c>
      <c r="D416" s="59"/>
      <c r="E416" s="59"/>
      <c r="G416" s="16">
        <v>14.4</v>
      </c>
    </row>
    <row r="417" spans="1:62" x14ac:dyDescent="0.2">
      <c r="A417" s="4" t="s">
        <v>134</v>
      </c>
      <c r="B417" s="4" t="s">
        <v>307</v>
      </c>
      <c r="C417" s="56" t="s">
        <v>721</v>
      </c>
      <c r="D417" s="57"/>
      <c r="E417" s="57"/>
      <c r="F417" s="4" t="s">
        <v>827</v>
      </c>
      <c r="G417" s="15">
        <v>224</v>
      </c>
      <c r="H417" s="15">
        <v>0</v>
      </c>
      <c r="I417" s="15">
        <f>G417*AO417</f>
        <v>0</v>
      </c>
      <c r="J417" s="15">
        <f>G417*AP417</f>
        <v>0</v>
      </c>
      <c r="K417" s="15">
        <f>G417*H417</f>
        <v>0</v>
      </c>
      <c r="L417" s="27" t="s">
        <v>846</v>
      </c>
      <c r="Z417" s="32">
        <f>IF(AQ417="5",BJ417,0)</f>
        <v>0</v>
      </c>
      <c r="AB417" s="32">
        <f>IF(AQ417="1",BH417,0)</f>
        <v>0</v>
      </c>
      <c r="AC417" s="32">
        <f>IF(AQ417="1",BI417,0)</f>
        <v>0</v>
      </c>
      <c r="AD417" s="32">
        <f>IF(AQ417="7",BH417,0)</f>
        <v>0</v>
      </c>
      <c r="AE417" s="32">
        <f>IF(AQ417="7",BI417,0)</f>
        <v>0</v>
      </c>
      <c r="AF417" s="32">
        <f>IF(AQ417="2",BH417,0)</f>
        <v>0</v>
      </c>
      <c r="AG417" s="32">
        <f>IF(AQ417="2",BI417,0)</f>
        <v>0</v>
      </c>
      <c r="AH417" s="32">
        <f>IF(AQ417="0",BJ417,0)</f>
        <v>0</v>
      </c>
      <c r="AI417" s="28"/>
      <c r="AJ417" s="15">
        <f>IF(AN417=0,K417,0)</f>
        <v>0</v>
      </c>
      <c r="AK417" s="15">
        <f>IF(AN417=15,K417,0)</f>
        <v>0</v>
      </c>
      <c r="AL417" s="15">
        <f>IF(AN417=21,K417,0)</f>
        <v>0</v>
      </c>
      <c r="AN417" s="32">
        <v>21</v>
      </c>
      <c r="AO417" s="32">
        <f>H417*0</f>
        <v>0</v>
      </c>
      <c r="AP417" s="32">
        <f>H417*(1-0)</f>
        <v>0</v>
      </c>
      <c r="AQ417" s="27" t="s">
        <v>7</v>
      </c>
      <c r="AV417" s="32">
        <f>AW417+AX417</f>
        <v>0</v>
      </c>
      <c r="AW417" s="32">
        <f>G417*AO417</f>
        <v>0</v>
      </c>
      <c r="AX417" s="32">
        <f>G417*AP417</f>
        <v>0</v>
      </c>
      <c r="AY417" s="33" t="s">
        <v>882</v>
      </c>
      <c r="AZ417" s="33" t="s">
        <v>894</v>
      </c>
      <c r="BA417" s="28" t="s">
        <v>895</v>
      </c>
      <c r="BC417" s="32">
        <f>AW417+AX417</f>
        <v>0</v>
      </c>
      <c r="BD417" s="32">
        <f>H417/(100-BE417)*100</f>
        <v>0</v>
      </c>
      <c r="BE417" s="32">
        <v>0</v>
      </c>
      <c r="BF417" s="32">
        <f>415</f>
        <v>415</v>
      </c>
      <c r="BH417" s="15">
        <f>G417*AO417</f>
        <v>0</v>
      </c>
      <c r="BI417" s="15">
        <f>G417*AP417</f>
        <v>0</v>
      </c>
      <c r="BJ417" s="15">
        <f>G417*H417</f>
        <v>0</v>
      </c>
    </row>
    <row r="418" spans="1:62" x14ac:dyDescent="0.2">
      <c r="C418" s="58" t="s">
        <v>722</v>
      </c>
      <c r="D418" s="59"/>
      <c r="E418" s="59"/>
      <c r="G418" s="16">
        <v>1</v>
      </c>
    </row>
    <row r="419" spans="1:62" x14ac:dyDescent="0.2">
      <c r="C419" s="58" t="s">
        <v>723</v>
      </c>
      <c r="D419" s="59"/>
      <c r="E419" s="59"/>
      <c r="G419" s="16">
        <v>2</v>
      </c>
    </row>
    <row r="420" spans="1:62" x14ac:dyDescent="0.2">
      <c r="C420" s="58" t="s">
        <v>724</v>
      </c>
      <c r="D420" s="59"/>
      <c r="E420" s="59"/>
      <c r="G420" s="16">
        <v>2</v>
      </c>
    </row>
    <row r="421" spans="1:62" x14ac:dyDescent="0.2">
      <c r="C421" s="58" t="s">
        <v>725</v>
      </c>
      <c r="D421" s="59"/>
      <c r="E421" s="59"/>
      <c r="G421" s="16">
        <v>180</v>
      </c>
    </row>
    <row r="422" spans="1:62" x14ac:dyDescent="0.2">
      <c r="C422" s="58" t="s">
        <v>726</v>
      </c>
      <c r="D422" s="59"/>
      <c r="E422" s="59"/>
      <c r="G422" s="16">
        <v>14</v>
      </c>
    </row>
    <row r="423" spans="1:62" x14ac:dyDescent="0.2">
      <c r="C423" s="58" t="s">
        <v>727</v>
      </c>
      <c r="D423" s="59"/>
      <c r="E423" s="59"/>
      <c r="G423" s="16">
        <v>1</v>
      </c>
    </row>
    <row r="424" spans="1:62" x14ac:dyDescent="0.2">
      <c r="C424" s="58" t="s">
        <v>728</v>
      </c>
      <c r="D424" s="59"/>
      <c r="E424" s="59"/>
      <c r="G424" s="16">
        <v>10</v>
      </c>
    </row>
    <row r="425" spans="1:62" x14ac:dyDescent="0.2">
      <c r="C425" s="58" t="s">
        <v>729</v>
      </c>
      <c r="D425" s="59"/>
      <c r="E425" s="59"/>
      <c r="G425" s="16">
        <v>1</v>
      </c>
    </row>
    <row r="426" spans="1:62" x14ac:dyDescent="0.2">
      <c r="C426" s="58" t="s">
        <v>730</v>
      </c>
      <c r="D426" s="59"/>
      <c r="E426" s="59"/>
      <c r="G426" s="16">
        <v>9</v>
      </c>
    </row>
    <row r="427" spans="1:62" x14ac:dyDescent="0.2">
      <c r="C427" s="58" t="s">
        <v>731</v>
      </c>
      <c r="D427" s="59"/>
      <c r="E427" s="59"/>
      <c r="G427" s="16">
        <v>4</v>
      </c>
    </row>
    <row r="428" spans="1:62" x14ac:dyDescent="0.2">
      <c r="A428" s="4" t="s">
        <v>135</v>
      </c>
      <c r="B428" s="4" t="s">
        <v>308</v>
      </c>
      <c r="C428" s="56" t="s">
        <v>732</v>
      </c>
      <c r="D428" s="57"/>
      <c r="E428" s="57"/>
      <c r="F428" s="4" t="s">
        <v>823</v>
      </c>
      <c r="G428" s="15">
        <v>1.98</v>
      </c>
      <c r="H428" s="15">
        <v>0</v>
      </c>
      <c r="I428" s="15">
        <f>G428*AO428</f>
        <v>0</v>
      </c>
      <c r="J428" s="15">
        <f>G428*AP428</f>
        <v>0</v>
      </c>
      <c r="K428" s="15">
        <f>G428*H428</f>
        <v>0</v>
      </c>
      <c r="L428" s="27" t="s">
        <v>846</v>
      </c>
      <c r="Z428" s="32">
        <f>IF(AQ428="5",BJ428,0)</f>
        <v>0</v>
      </c>
      <c r="AB428" s="32">
        <f>IF(AQ428="1",BH428,0)</f>
        <v>0</v>
      </c>
      <c r="AC428" s="32">
        <f>IF(AQ428="1",BI428,0)</f>
        <v>0</v>
      </c>
      <c r="AD428" s="32">
        <f>IF(AQ428="7",BH428,0)</f>
        <v>0</v>
      </c>
      <c r="AE428" s="32">
        <f>IF(AQ428="7",BI428,0)</f>
        <v>0</v>
      </c>
      <c r="AF428" s="32">
        <f>IF(AQ428="2",BH428,0)</f>
        <v>0</v>
      </c>
      <c r="AG428" s="32">
        <f>IF(AQ428="2",BI428,0)</f>
        <v>0</v>
      </c>
      <c r="AH428" s="32">
        <f>IF(AQ428="0",BJ428,0)</f>
        <v>0</v>
      </c>
      <c r="AI428" s="28"/>
      <c r="AJ428" s="15">
        <f>IF(AN428=0,K428,0)</f>
        <v>0</v>
      </c>
      <c r="AK428" s="15">
        <f>IF(AN428=15,K428,0)</f>
        <v>0</v>
      </c>
      <c r="AL428" s="15">
        <f>IF(AN428=21,K428,0)</f>
        <v>0</v>
      </c>
      <c r="AN428" s="32">
        <v>21</v>
      </c>
      <c r="AO428" s="32">
        <f>H428*0.205795918367347</f>
        <v>0</v>
      </c>
      <c r="AP428" s="32">
        <f>H428*(1-0.205795918367347)</f>
        <v>0</v>
      </c>
      <c r="AQ428" s="27" t="s">
        <v>7</v>
      </c>
      <c r="AV428" s="32">
        <f>AW428+AX428</f>
        <v>0</v>
      </c>
      <c r="AW428" s="32">
        <f>G428*AO428</f>
        <v>0</v>
      </c>
      <c r="AX428" s="32">
        <f>G428*AP428</f>
        <v>0</v>
      </c>
      <c r="AY428" s="33" t="s">
        <v>882</v>
      </c>
      <c r="AZ428" s="33" t="s">
        <v>894</v>
      </c>
      <c r="BA428" s="28" t="s">
        <v>895</v>
      </c>
      <c r="BC428" s="32">
        <f>AW428+AX428</f>
        <v>0</v>
      </c>
      <c r="BD428" s="32">
        <f>H428/(100-BE428)*100</f>
        <v>0</v>
      </c>
      <c r="BE428" s="32">
        <v>0</v>
      </c>
      <c r="BF428" s="32">
        <f>426</f>
        <v>426</v>
      </c>
      <c r="BH428" s="15">
        <f>G428*AO428</f>
        <v>0</v>
      </c>
      <c r="BI428" s="15">
        <f>G428*AP428</f>
        <v>0</v>
      </c>
      <c r="BJ428" s="15">
        <f>G428*H428</f>
        <v>0</v>
      </c>
    </row>
    <row r="429" spans="1:62" x14ac:dyDescent="0.2">
      <c r="C429" s="58" t="s">
        <v>733</v>
      </c>
      <c r="D429" s="59"/>
      <c r="E429" s="59"/>
      <c r="G429" s="16">
        <v>0.72</v>
      </c>
    </row>
    <row r="430" spans="1:62" x14ac:dyDescent="0.2">
      <c r="C430" s="58" t="s">
        <v>734</v>
      </c>
      <c r="D430" s="59"/>
      <c r="E430" s="59"/>
      <c r="G430" s="16">
        <v>0.72</v>
      </c>
    </row>
    <row r="431" spans="1:62" x14ac:dyDescent="0.2">
      <c r="C431" s="58" t="s">
        <v>735</v>
      </c>
      <c r="D431" s="59"/>
      <c r="E431" s="59"/>
      <c r="G431" s="16">
        <v>0.54</v>
      </c>
    </row>
    <row r="432" spans="1:62" x14ac:dyDescent="0.2">
      <c r="A432" s="4" t="s">
        <v>136</v>
      </c>
      <c r="B432" s="4" t="s">
        <v>309</v>
      </c>
      <c r="C432" s="56" t="s">
        <v>736</v>
      </c>
      <c r="D432" s="57"/>
      <c r="E432" s="57"/>
      <c r="F432" s="4" t="s">
        <v>827</v>
      </c>
      <c r="G432" s="15">
        <v>85</v>
      </c>
      <c r="H432" s="15">
        <v>0</v>
      </c>
      <c r="I432" s="15">
        <f>G432*AO432</f>
        <v>0</v>
      </c>
      <c r="J432" s="15">
        <f>G432*AP432</f>
        <v>0</v>
      </c>
      <c r="K432" s="15">
        <f>G432*H432</f>
        <v>0</v>
      </c>
      <c r="L432" s="27" t="s">
        <v>846</v>
      </c>
      <c r="Z432" s="32">
        <f>IF(AQ432="5",BJ432,0)</f>
        <v>0</v>
      </c>
      <c r="AB432" s="32">
        <f>IF(AQ432="1",BH432,0)</f>
        <v>0</v>
      </c>
      <c r="AC432" s="32">
        <f>IF(AQ432="1",BI432,0)</f>
        <v>0</v>
      </c>
      <c r="AD432" s="32">
        <f>IF(AQ432="7",BH432,0)</f>
        <v>0</v>
      </c>
      <c r="AE432" s="32">
        <f>IF(AQ432="7",BI432,0)</f>
        <v>0</v>
      </c>
      <c r="AF432" s="32">
        <f>IF(AQ432="2",BH432,0)</f>
        <v>0</v>
      </c>
      <c r="AG432" s="32">
        <f>IF(AQ432="2",BI432,0)</f>
        <v>0</v>
      </c>
      <c r="AH432" s="32">
        <f>IF(AQ432="0",BJ432,0)</f>
        <v>0</v>
      </c>
      <c r="AI432" s="28"/>
      <c r="AJ432" s="15">
        <f>IF(AN432=0,K432,0)</f>
        <v>0</v>
      </c>
      <c r="AK432" s="15">
        <f>IF(AN432=15,K432,0)</f>
        <v>0</v>
      </c>
      <c r="AL432" s="15">
        <f>IF(AN432=21,K432,0)</f>
        <v>0</v>
      </c>
      <c r="AN432" s="32">
        <v>21</v>
      </c>
      <c r="AO432" s="32">
        <f>H432*0</f>
        <v>0</v>
      </c>
      <c r="AP432" s="32">
        <f>H432*(1-0)</f>
        <v>0</v>
      </c>
      <c r="AQ432" s="27" t="s">
        <v>7</v>
      </c>
      <c r="AV432" s="32">
        <f>AW432+AX432</f>
        <v>0</v>
      </c>
      <c r="AW432" s="32">
        <f>G432*AO432</f>
        <v>0</v>
      </c>
      <c r="AX432" s="32">
        <f>G432*AP432</f>
        <v>0</v>
      </c>
      <c r="AY432" s="33" t="s">
        <v>882</v>
      </c>
      <c r="AZ432" s="33" t="s">
        <v>894</v>
      </c>
      <c r="BA432" s="28" t="s">
        <v>895</v>
      </c>
      <c r="BC432" s="32">
        <f>AW432+AX432</f>
        <v>0</v>
      </c>
      <c r="BD432" s="32">
        <f>H432/(100-BE432)*100</f>
        <v>0</v>
      </c>
      <c r="BE432" s="32">
        <v>0</v>
      </c>
      <c r="BF432" s="32">
        <f>430</f>
        <v>430</v>
      </c>
      <c r="BH432" s="15">
        <f>G432*AO432</f>
        <v>0</v>
      </c>
      <c r="BI432" s="15">
        <f>G432*AP432</f>
        <v>0</v>
      </c>
      <c r="BJ432" s="15">
        <f>G432*H432</f>
        <v>0</v>
      </c>
    </row>
    <row r="433" spans="1:62" x14ac:dyDescent="0.2">
      <c r="C433" s="58" t="s">
        <v>737</v>
      </c>
      <c r="D433" s="59"/>
      <c r="E433" s="59"/>
      <c r="G433" s="16">
        <v>60</v>
      </c>
    </row>
    <row r="434" spans="1:62" x14ac:dyDescent="0.2">
      <c r="C434" s="58" t="s">
        <v>726</v>
      </c>
      <c r="D434" s="59"/>
      <c r="E434" s="59"/>
      <c r="G434" s="16">
        <v>14</v>
      </c>
    </row>
    <row r="435" spans="1:62" x14ac:dyDescent="0.2">
      <c r="C435" s="58" t="s">
        <v>727</v>
      </c>
      <c r="D435" s="59"/>
      <c r="E435" s="59"/>
      <c r="G435" s="16">
        <v>1</v>
      </c>
    </row>
    <row r="436" spans="1:62" x14ac:dyDescent="0.2">
      <c r="C436" s="58" t="s">
        <v>728</v>
      </c>
      <c r="D436" s="59"/>
      <c r="E436" s="59"/>
      <c r="G436" s="16">
        <v>10</v>
      </c>
    </row>
    <row r="437" spans="1:62" x14ac:dyDescent="0.2">
      <c r="A437" s="4" t="s">
        <v>137</v>
      </c>
      <c r="B437" s="4" t="s">
        <v>310</v>
      </c>
      <c r="C437" s="56" t="s">
        <v>738</v>
      </c>
      <c r="D437" s="57"/>
      <c r="E437" s="57"/>
      <c r="F437" s="4" t="s">
        <v>823</v>
      </c>
      <c r="G437" s="15">
        <v>6.78</v>
      </c>
      <c r="H437" s="15">
        <v>0</v>
      </c>
      <c r="I437" s="15">
        <f>G437*AO437</f>
        <v>0</v>
      </c>
      <c r="J437" s="15">
        <f>G437*AP437</f>
        <v>0</v>
      </c>
      <c r="K437" s="15">
        <f>G437*H437</f>
        <v>0</v>
      </c>
      <c r="L437" s="27" t="s">
        <v>846</v>
      </c>
      <c r="Z437" s="32">
        <f>IF(AQ437="5",BJ437,0)</f>
        <v>0</v>
      </c>
      <c r="AB437" s="32">
        <f>IF(AQ437="1",BH437,0)</f>
        <v>0</v>
      </c>
      <c r="AC437" s="32">
        <f>IF(AQ437="1",BI437,0)</f>
        <v>0</v>
      </c>
      <c r="AD437" s="32">
        <f>IF(AQ437="7",BH437,0)</f>
        <v>0</v>
      </c>
      <c r="AE437" s="32">
        <f>IF(AQ437="7",BI437,0)</f>
        <v>0</v>
      </c>
      <c r="AF437" s="32">
        <f>IF(AQ437="2",BH437,0)</f>
        <v>0</v>
      </c>
      <c r="AG437" s="32">
        <f>IF(AQ437="2",BI437,0)</f>
        <v>0</v>
      </c>
      <c r="AH437" s="32">
        <f>IF(AQ437="0",BJ437,0)</f>
        <v>0</v>
      </c>
      <c r="AI437" s="28"/>
      <c r="AJ437" s="15">
        <f>IF(AN437=0,K437,0)</f>
        <v>0</v>
      </c>
      <c r="AK437" s="15">
        <f>IF(AN437=15,K437,0)</f>
        <v>0</v>
      </c>
      <c r="AL437" s="15">
        <f>IF(AN437=21,K437,0)</f>
        <v>0</v>
      </c>
      <c r="AN437" s="32">
        <v>21</v>
      </c>
      <c r="AO437" s="32">
        <f>H437*0.158064385338956</f>
        <v>0</v>
      </c>
      <c r="AP437" s="32">
        <f>H437*(1-0.158064385338956)</f>
        <v>0</v>
      </c>
      <c r="AQ437" s="27" t="s">
        <v>7</v>
      </c>
      <c r="AV437" s="32">
        <f>AW437+AX437</f>
        <v>0</v>
      </c>
      <c r="AW437" s="32">
        <f>G437*AO437</f>
        <v>0</v>
      </c>
      <c r="AX437" s="32">
        <f>G437*AP437</f>
        <v>0</v>
      </c>
      <c r="AY437" s="33" t="s">
        <v>882</v>
      </c>
      <c r="AZ437" s="33" t="s">
        <v>894</v>
      </c>
      <c r="BA437" s="28" t="s">
        <v>895</v>
      </c>
      <c r="BC437" s="32">
        <f>AW437+AX437</f>
        <v>0</v>
      </c>
      <c r="BD437" s="32">
        <f>H437/(100-BE437)*100</f>
        <v>0</v>
      </c>
      <c r="BE437" s="32">
        <v>0</v>
      </c>
      <c r="BF437" s="32">
        <f>435</f>
        <v>435</v>
      </c>
      <c r="BH437" s="15">
        <f>G437*AO437</f>
        <v>0</v>
      </c>
      <c r="BI437" s="15">
        <f>G437*AP437</f>
        <v>0</v>
      </c>
      <c r="BJ437" s="15">
        <f>G437*H437</f>
        <v>0</v>
      </c>
    </row>
    <row r="438" spans="1:62" x14ac:dyDescent="0.2">
      <c r="C438" s="58" t="s">
        <v>739</v>
      </c>
      <c r="D438" s="59"/>
      <c r="E438" s="59"/>
      <c r="G438" s="16">
        <v>2.88</v>
      </c>
    </row>
    <row r="439" spans="1:62" x14ac:dyDescent="0.2">
      <c r="C439" s="58" t="s">
        <v>740</v>
      </c>
      <c r="D439" s="59"/>
      <c r="E439" s="59"/>
      <c r="G439" s="16">
        <v>3.9</v>
      </c>
    </row>
    <row r="440" spans="1:62" x14ac:dyDescent="0.2">
      <c r="A440" s="4" t="s">
        <v>138</v>
      </c>
      <c r="B440" s="4" t="s">
        <v>311</v>
      </c>
      <c r="C440" s="56" t="s">
        <v>741</v>
      </c>
      <c r="D440" s="57"/>
      <c r="E440" s="57"/>
      <c r="F440" s="4" t="s">
        <v>823</v>
      </c>
      <c r="G440" s="15">
        <v>367.2</v>
      </c>
      <c r="H440" s="15">
        <v>0</v>
      </c>
      <c r="I440" s="15">
        <f>G440*AO440</f>
        <v>0</v>
      </c>
      <c r="J440" s="15">
        <f>G440*AP440</f>
        <v>0</v>
      </c>
      <c r="K440" s="15">
        <f>G440*H440</f>
        <v>0</v>
      </c>
      <c r="L440" s="27" t="s">
        <v>846</v>
      </c>
      <c r="Z440" s="32">
        <f>IF(AQ440="5",BJ440,0)</f>
        <v>0</v>
      </c>
      <c r="AB440" s="32">
        <f>IF(AQ440="1",BH440,0)</f>
        <v>0</v>
      </c>
      <c r="AC440" s="32">
        <f>IF(AQ440="1",BI440,0)</f>
        <v>0</v>
      </c>
      <c r="AD440" s="32">
        <f>IF(AQ440="7",BH440,0)</f>
        <v>0</v>
      </c>
      <c r="AE440" s="32">
        <f>IF(AQ440="7",BI440,0)</f>
        <v>0</v>
      </c>
      <c r="AF440" s="32">
        <f>IF(AQ440="2",BH440,0)</f>
        <v>0</v>
      </c>
      <c r="AG440" s="32">
        <f>IF(AQ440="2",BI440,0)</f>
        <v>0</v>
      </c>
      <c r="AH440" s="32">
        <f>IF(AQ440="0",BJ440,0)</f>
        <v>0</v>
      </c>
      <c r="AI440" s="28"/>
      <c r="AJ440" s="15">
        <f>IF(AN440=0,K440,0)</f>
        <v>0</v>
      </c>
      <c r="AK440" s="15">
        <f>IF(AN440=15,K440,0)</f>
        <v>0</v>
      </c>
      <c r="AL440" s="15">
        <f>IF(AN440=21,K440,0)</f>
        <v>0</v>
      </c>
      <c r="AN440" s="32">
        <v>21</v>
      </c>
      <c r="AO440" s="32">
        <f>H440*0.190808080808081</f>
        <v>0</v>
      </c>
      <c r="AP440" s="32">
        <f>H440*(1-0.190808080808081)</f>
        <v>0</v>
      </c>
      <c r="AQ440" s="27" t="s">
        <v>7</v>
      </c>
      <c r="AV440" s="32">
        <f>AW440+AX440</f>
        <v>0</v>
      </c>
      <c r="AW440" s="32">
        <f>G440*AO440</f>
        <v>0</v>
      </c>
      <c r="AX440" s="32">
        <f>G440*AP440</f>
        <v>0</v>
      </c>
      <c r="AY440" s="33" t="s">
        <v>882</v>
      </c>
      <c r="AZ440" s="33" t="s">
        <v>894</v>
      </c>
      <c r="BA440" s="28" t="s">
        <v>895</v>
      </c>
      <c r="BC440" s="32">
        <f>AW440+AX440</f>
        <v>0</v>
      </c>
      <c r="BD440" s="32">
        <f>H440/(100-BE440)*100</f>
        <v>0</v>
      </c>
      <c r="BE440" s="32">
        <v>0</v>
      </c>
      <c r="BF440" s="32">
        <f>438</f>
        <v>438</v>
      </c>
      <c r="BH440" s="15">
        <f>G440*AO440</f>
        <v>0</v>
      </c>
      <c r="BI440" s="15">
        <f>G440*AP440</f>
        <v>0</v>
      </c>
      <c r="BJ440" s="15">
        <f>G440*H440</f>
        <v>0</v>
      </c>
    </row>
    <row r="441" spans="1:62" x14ac:dyDescent="0.2">
      <c r="C441" s="58" t="s">
        <v>742</v>
      </c>
      <c r="D441" s="59"/>
      <c r="E441" s="59"/>
      <c r="G441" s="16">
        <v>345.6</v>
      </c>
    </row>
    <row r="442" spans="1:62" x14ac:dyDescent="0.2">
      <c r="C442" s="58" t="s">
        <v>743</v>
      </c>
      <c r="D442" s="59"/>
      <c r="E442" s="59"/>
      <c r="G442" s="16">
        <v>21.6</v>
      </c>
    </row>
    <row r="443" spans="1:62" x14ac:dyDescent="0.2">
      <c r="A443" s="4" t="s">
        <v>139</v>
      </c>
      <c r="B443" s="4" t="s">
        <v>312</v>
      </c>
      <c r="C443" s="56" t="s">
        <v>744</v>
      </c>
      <c r="D443" s="57"/>
      <c r="E443" s="57"/>
      <c r="F443" s="4" t="s">
        <v>823</v>
      </c>
      <c r="G443" s="15">
        <v>63.36</v>
      </c>
      <c r="H443" s="15">
        <v>0</v>
      </c>
      <c r="I443" s="15">
        <f>G443*AO443</f>
        <v>0</v>
      </c>
      <c r="J443" s="15">
        <f>G443*AP443</f>
        <v>0</v>
      </c>
      <c r="K443" s="15">
        <f>G443*H443</f>
        <v>0</v>
      </c>
      <c r="L443" s="27" t="s">
        <v>846</v>
      </c>
      <c r="Z443" s="32">
        <f>IF(AQ443="5",BJ443,0)</f>
        <v>0</v>
      </c>
      <c r="AB443" s="32">
        <f>IF(AQ443="1",BH443,0)</f>
        <v>0</v>
      </c>
      <c r="AC443" s="32">
        <f>IF(AQ443="1",BI443,0)</f>
        <v>0</v>
      </c>
      <c r="AD443" s="32">
        <f>IF(AQ443="7",BH443,0)</f>
        <v>0</v>
      </c>
      <c r="AE443" s="32">
        <f>IF(AQ443="7",BI443,0)</f>
        <v>0</v>
      </c>
      <c r="AF443" s="32">
        <f>IF(AQ443="2",BH443,0)</f>
        <v>0</v>
      </c>
      <c r="AG443" s="32">
        <f>IF(AQ443="2",BI443,0)</f>
        <v>0</v>
      </c>
      <c r="AH443" s="32">
        <f>IF(AQ443="0",BJ443,0)</f>
        <v>0</v>
      </c>
      <c r="AI443" s="28"/>
      <c r="AJ443" s="15">
        <f>IF(AN443=0,K443,0)</f>
        <v>0</v>
      </c>
      <c r="AK443" s="15">
        <f>IF(AN443=15,K443,0)</f>
        <v>0</v>
      </c>
      <c r="AL443" s="15">
        <f>IF(AN443=21,K443,0)</f>
        <v>0</v>
      </c>
      <c r="AN443" s="32">
        <v>21</v>
      </c>
      <c r="AO443" s="32">
        <f>H443*0.177731092436975</f>
        <v>0</v>
      </c>
      <c r="AP443" s="32">
        <f>H443*(1-0.177731092436975)</f>
        <v>0</v>
      </c>
      <c r="AQ443" s="27" t="s">
        <v>7</v>
      </c>
      <c r="AV443" s="32">
        <f>AW443+AX443</f>
        <v>0</v>
      </c>
      <c r="AW443" s="32">
        <f>G443*AO443</f>
        <v>0</v>
      </c>
      <c r="AX443" s="32">
        <f>G443*AP443</f>
        <v>0</v>
      </c>
      <c r="AY443" s="33" t="s">
        <v>882</v>
      </c>
      <c r="AZ443" s="33" t="s">
        <v>894</v>
      </c>
      <c r="BA443" s="28" t="s">
        <v>895</v>
      </c>
      <c r="BC443" s="32">
        <f>AW443+AX443</f>
        <v>0</v>
      </c>
      <c r="BD443" s="32">
        <f>H443/(100-BE443)*100</f>
        <v>0</v>
      </c>
      <c r="BE443" s="32">
        <v>0</v>
      </c>
      <c r="BF443" s="32">
        <f>441</f>
        <v>441</v>
      </c>
      <c r="BH443" s="15">
        <f>G443*AO443</f>
        <v>0</v>
      </c>
      <c r="BI443" s="15">
        <f>G443*AP443</f>
        <v>0</v>
      </c>
      <c r="BJ443" s="15">
        <f>G443*H443</f>
        <v>0</v>
      </c>
    </row>
    <row r="444" spans="1:62" x14ac:dyDescent="0.2">
      <c r="C444" s="58" t="s">
        <v>745</v>
      </c>
      <c r="D444" s="59"/>
      <c r="E444" s="59"/>
      <c r="G444" s="16">
        <v>50.4</v>
      </c>
    </row>
    <row r="445" spans="1:62" x14ac:dyDescent="0.2">
      <c r="C445" s="58" t="s">
        <v>746</v>
      </c>
      <c r="D445" s="59"/>
      <c r="E445" s="59"/>
      <c r="G445" s="16">
        <v>10.8</v>
      </c>
    </row>
    <row r="446" spans="1:62" x14ac:dyDescent="0.2">
      <c r="C446" s="58" t="s">
        <v>747</v>
      </c>
      <c r="D446" s="59"/>
      <c r="E446" s="59"/>
      <c r="G446" s="16">
        <v>2.16</v>
      </c>
    </row>
    <row r="447" spans="1:62" x14ac:dyDescent="0.2">
      <c r="A447" s="4" t="s">
        <v>140</v>
      </c>
      <c r="B447" s="4" t="s">
        <v>313</v>
      </c>
      <c r="C447" s="56" t="s">
        <v>748</v>
      </c>
      <c r="D447" s="57"/>
      <c r="E447" s="57"/>
      <c r="F447" s="4" t="s">
        <v>827</v>
      </c>
      <c r="G447" s="15">
        <v>3</v>
      </c>
      <c r="H447" s="15">
        <v>0</v>
      </c>
      <c r="I447" s="15">
        <f>G447*AO447</f>
        <v>0</v>
      </c>
      <c r="J447" s="15">
        <f>G447*AP447</f>
        <v>0</v>
      </c>
      <c r="K447" s="15">
        <f>G447*H447</f>
        <v>0</v>
      </c>
      <c r="L447" s="27" t="s">
        <v>846</v>
      </c>
      <c r="Z447" s="32">
        <f>IF(AQ447="5",BJ447,0)</f>
        <v>0</v>
      </c>
      <c r="AB447" s="32">
        <f>IF(AQ447="1",BH447,0)</f>
        <v>0</v>
      </c>
      <c r="AC447" s="32">
        <f>IF(AQ447="1",BI447,0)</f>
        <v>0</v>
      </c>
      <c r="AD447" s="32">
        <f>IF(AQ447="7",BH447,0)</f>
        <v>0</v>
      </c>
      <c r="AE447" s="32">
        <f>IF(AQ447="7",BI447,0)</f>
        <v>0</v>
      </c>
      <c r="AF447" s="32">
        <f>IF(AQ447="2",BH447,0)</f>
        <v>0</v>
      </c>
      <c r="AG447" s="32">
        <f>IF(AQ447="2",BI447,0)</f>
        <v>0</v>
      </c>
      <c r="AH447" s="32">
        <f>IF(AQ447="0",BJ447,0)</f>
        <v>0</v>
      </c>
      <c r="AI447" s="28"/>
      <c r="AJ447" s="15">
        <f>IF(AN447=0,K447,0)</f>
        <v>0</v>
      </c>
      <c r="AK447" s="15">
        <f>IF(AN447=15,K447,0)</f>
        <v>0</v>
      </c>
      <c r="AL447" s="15">
        <f>IF(AN447=21,K447,0)</f>
        <v>0</v>
      </c>
      <c r="AN447" s="32">
        <v>21</v>
      </c>
      <c r="AO447" s="32">
        <f>H447*0</f>
        <v>0</v>
      </c>
      <c r="AP447" s="32">
        <f>H447*(1-0)</f>
        <v>0</v>
      </c>
      <c r="AQ447" s="27" t="s">
        <v>7</v>
      </c>
      <c r="AV447" s="32">
        <f>AW447+AX447</f>
        <v>0</v>
      </c>
      <c r="AW447" s="32">
        <f>G447*AO447</f>
        <v>0</v>
      </c>
      <c r="AX447" s="32">
        <f>G447*AP447</f>
        <v>0</v>
      </c>
      <c r="AY447" s="33" t="s">
        <v>882</v>
      </c>
      <c r="AZ447" s="33" t="s">
        <v>894</v>
      </c>
      <c r="BA447" s="28" t="s">
        <v>895</v>
      </c>
      <c r="BC447" s="32">
        <f>AW447+AX447</f>
        <v>0</v>
      </c>
      <c r="BD447" s="32">
        <f>H447/(100-BE447)*100</f>
        <v>0</v>
      </c>
      <c r="BE447" s="32">
        <v>0</v>
      </c>
      <c r="BF447" s="32">
        <f>445</f>
        <v>445</v>
      </c>
      <c r="BH447" s="15">
        <f>G447*AO447</f>
        <v>0</v>
      </c>
      <c r="BI447" s="15">
        <f>G447*AP447</f>
        <v>0</v>
      </c>
      <c r="BJ447" s="15">
        <f>G447*H447</f>
        <v>0</v>
      </c>
    </row>
    <row r="448" spans="1:62" x14ac:dyDescent="0.2">
      <c r="C448" s="58" t="s">
        <v>749</v>
      </c>
      <c r="D448" s="59"/>
      <c r="E448" s="59"/>
      <c r="G448" s="16">
        <v>2</v>
      </c>
    </row>
    <row r="449" spans="1:62" x14ac:dyDescent="0.2">
      <c r="C449" s="58" t="s">
        <v>750</v>
      </c>
      <c r="D449" s="59"/>
      <c r="E449" s="59"/>
      <c r="G449" s="16">
        <v>1</v>
      </c>
    </row>
    <row r="450" spans="1:62" x14ac:dyDescent="0.2">
      <c r="A450" s="4" t="s">
        <v>141</v>
      </c>
      <c r="B450" s="4" t="s">
        <v>314</v>
      </c>
      <c r="C450" s="56" t="s">
        <v>751</v>
      </c>
      <c r="D450" s="57"/>
      <c r="E450" s="57"/>
      <c r="F450" s="4" t="s">
        <v>827</v>
      </c>
      <c r="G450" s="15">
        <v>1</v>
      </c>
      <c r="H450" s="15">
        <v>0</v>
      </c>
      <c r="I450" s="15">
        <f>G450*AO450</f>
        <v>0</v>
      </c>
      <c r="J450" s="15">
        <f>G450*AP450</f>
        <v>0</v>
      </c>
      <c r="K450" s="15">
        <f>G450*H450</f>
        <v>0</v>
      </c>
      <c r="L450" s="27" t="s">
        <v>846</v>
      </c>
      <c r="Z450" s="32">
        <f>IF(AQ450="5",BJ450,0)</f>
        <v>0</v>
      </c>
      <c r="AB450" s="32">
        <f>IF(AQ450="1",BH450,0)</f>
        <v>0</v>
      </c>
      <c r="AC450" s="32">
        <f>IF(AQ450="1",BI450,0)</f>
        <v>0</v>
      </c>
      <c r="AD450" s="32">
        <f>IF(AQ450="7",BH450,0)</f>
        <v>0</v>
      </c>
      <c r="AE450" s="32">
        <f>IF(AQ450="7",BI450,0)</f>
        <v>0</v>
      </c>
      <c r="AF450" s="32">
        <f>IF(AQ450="2",BH450,0)</f>
        <v>0</v>
      </c>
      <c r="AG450" s="32">
        <f>IF(AQ450="2",BI450,0)</f>
        <v>0</v>
      </c>
      <c r="AH450" s="32">
        <f>IF(AQ450="0",BJ450,0)</f>
        <v>0</v>
      </c>
      <c r="AI450" s="28"/>
      <c r="AJ450" s="15">
        <f>IF(AN450=0,K450,0)</f>
        <v>0</v>
      </c>
      <c r="AK450" s="15">
        <f>IF(AN450=15,K450,0)</f>
        <v>0</v>
      </c>
      <c r="AL450" s="15">
        <f>IF(AN450=21,K450,0)</f>
        <v>0</v>
      </c>
      <c r="AN450" s="32">
        <v>21</v>
      </c>
      <c r="AO450" s="32">
        <f>H450*0</f>
        <v>0</v>
      </c>
      <c r="AP450" s="32">
        <f>H450*(1-0)</f>
        <v>0</v>
      </c>
      <c r="AQ450" s="27" t="s">
        <v>7</v>
      </c>
      <c r="AV450" s="32">
        <f>AW450+AX450</f>
        <v>0</v>
      </c>
      <c r="AW450" s="32">
        <f>G450*AO450</f>
        <v>0</v>
      </c>
      <c r="AX450" s="32">
        <f>G450*AP450</f>
        <v>0</v>
      </c>
      <c r="AY450" s="33" t="s">
        <v>882</v>
      </c>
      <c r="AZ450" s="33" t="s">
        <v>894</v>
      </c>
      <c r="BA450" s="28" t="s">
        <v>895</v>
      </c>
      <c r="BC450" s="32">
        <f>AW450+AX450</f>
        <v>0</v>
      </c>
      <c r="BD450" s="32">
        <f>H450/(100-BE450)*100</f>
        <v>0</v>
      </c>
      <c r="BE450" s="32">
        <v>0</v>
      </c>
      <c r="BF450" s="32">
        <f>448</f>
        <v>448</v>
      </c>
      <c r="BH450" s="15">
        <f>G450*AO450</f>
        <v>0</v>
      </c>
      <c r="BI450" s="15">
        <f>G450*AP450</f>
        <v>0</v>
      </c>
      <c r="BJ450" s="15">
        <f>G450*H450</f>
        <v>0</v>
      </c>
    </row>
    <row r="451" spans="1:62" x14ac:dyDescent="0.2">
      <c r="C451" s="58" t="s">
        <v>752</v>
      </c>
      <c r="D451" s="59"/>
      <c r="E451" s="59"/>
      <c r="G451" s="16">
        <v>1</v>
      </c>
    </row>
    <row r="452" spans="1:62" x14ac:dyDescent="0.2">
      <c r="A452" s="4" t="s">
        <v>142</v>
      </c>
      <c r="B452" s="4" t="s">
        <v>315</v>
      </c>
      <c r="C452" s="56" t="s">
        <v>753</v>
      </c>
      <c r="D452" s="57"/>
      <c r="E452" s="57"/>
      <c r="F452" s="4" t="s">
        <v>823</v>
      </c>
      <c r="G452" s="15">
        <v>5.28</v>
      </c>
      <c r="H452" s="15">
        <v>0</v>
      </c>
      <c r="I452" s="15">
        <f>G452*AO452</f>
        <v>0</v>
      </c>
      <c r="J452" s="15">
        <f>G452*AP452</f>
        <v>0</v>
      </c>
      <c r="K452" s="15">
        <f>G452*H452</f>
        <v>0</v>
      </c>
      <c r="L452" s="27" t="s">
        <v>846</v>
      </c>
      <c r="Z452" s="32">
        <f>IF(AQ452="5",BJ452,0)</f>
        <v>0</v>
      </c>
      <c r="AB452" s="32">
        <f>IF(AQ452="1",BH452,0)</f>
        <v>0</v>
      </c>
      <c r="AC452" s="32">
        <f>IF(AQ452="1",BI452,0)</f>
        <v>0</v>
      </c>
      <c r="AD452" s="32">
        <f>IF(AQ452="7",BH452,0)</f>
        <v>0</v>
      </c>
      <c r="AE452" s="32">
        <f>IF(AQ452="7",BI452,0)</f>
        <v>0</v>
      </c>
      <c r="AF452" s="32">
        <f>IF(AQ452="2",BH452,0)</f>
        <v>0</v>
      </c>
      <c r="AG452" s="32">
        <f>IF(AQ452="2",BI452,0)</f>
        <v>0</v>
      </c>
      <c r="AH452" s="32">
        <f>IF(AQ452="0",BJ452,0)</f>
        <v>0</v>
      </c>
      <c r="AI452" s="28"/>
      <c r="AJ452" s="15">
        <f>IF(AN452=0,K452,0)</f>
        <v>0</v>
      </c>
      <c r="AK452" s="15">
        <f>IF(AN452=15,K452,0)</f>
        <v>0</v>
      </c>
      <c r="AL452" s="15">
        <f>IF(AN452=21,K452,0)</f>
        <v>0</v>
      </c>
      <c r="AN452" s="32">
        <v>21</v>
      </c>
      <c r="AO452" s="32">
        <f>H452*0.0809859154929577</f>
        <v>0</v>
      </c>
      <c r="AP452" s="32">
        <f>H452*(1-0.0809859154929577)</f>
        <v>0</v>
      </c>
      <c r="AQ452" s="27" t="s">
        <v>7</v>
      </c>
      <c r="AV452" s="32">
        <f>AW452+AX452</f>
        <v>0</v>
      </c>
      <c r="AW452" s="32">
        <f>G452*AO452</f>
        <v>0</v>
      </c>
      <c r="AX452" s="32">
        <f>G452*AP452</f>
        <v>0</v>
      </c>
      <c r="AY452" s="33" t="s">
        <v>882</v>
      </c>
      <c r="AZ452" s="33" t="s">
        <v>894</v>
      </c>
      <c r="BA452" s="28" t="s">
        <v>895</v>
      </c>
      <c r="BC452" s="32">
        <f>AW452+AX452</f>
        <v>0</v>
      </c>
      <c r="BD452" s="32">
        <f>H452/(100-BE452)*100</f>
        <v>0</v>
      </c>
      <c r="BE452" s="32">
        <v>0</v>
      </c>
      <c r="BF452" s="32">
        <f>450</f>
        <v>450</v>
      </c>
      <c r="BH452" s="15">
        <f>G452*AO452</f>
        <v>0</v>
      </c>
      <c r="BI452" s="15">
        <f>G452*AP452</f>
        <v>0</v>
      </c>
      <c r="BJ452" s="15">
        <f>G452*H452</f>
        <v>0</v>
      </c>
    </row>
    <row r="453" spans="1:62" x14ac:dyDescent="0.2">
      <c r="C453" s="58" t="s">
        <v>754</v>
      </c>
      <c r="D453" s="59"/>
      <c r="E453" s="59"/>
      <c r="G453" s="16">
        <v>5.28</v>
      </c>
    </row>
    <row r="454" spans="1:62" x14ac:dyDescent="0.2">
      <c r="A454" s="4" t="s">
        <v>143</v>
      </c>
      <c r="B454" s="4" t="s">
        <v>316</v>
      </c>
      <c r="C454" s="56" t="s">
        <v>755</v>
      </c>
      <c r="D454" s="57"/>
      <c r="E454" s="57"/>
      <c r="F454" s="4" t="s">
        <v>823</v>
      </c>
      <c r="G454" s="15">
        <v>1.7729999999999999</v>
      </c>
      <c r="H454" s="15">
        <v>0</v>
      </c>
      <c r="I454" s="15">
        <f>G454*AO454</f>
        <v>0</v>
      </c>
      <c r="J454" s="15">
        <f>G454*AP454</f>
        <v>0</v>
      </c>
      <c r="K454" s="15">
        <f>G454*H454</f>
        <v>0</v>
      </c>
      <c r="L454" s="27" t="s">
        <v>846</v>
      </c>
      <c r="Z454" s="32">
        <f>IF(AQ454="5",BJ454,0)</f>
        <v>0</v>
      </c>
      <c r="AB454" s="32">
        <f>IF(AQ454="1",BH454,0)</f>
        <v>0</v>
      </c>
      <c r="AC454" s="32">
        <f>IF(AQ454="1",BI454,0)</f>
        <v>0</v>
      </c>
      <c r="AD454" s="32">
        <f>IF(AQ454="7",BH454,0)</f>
        <v>0</v>
      </c>
      <c r="AE454" s="32">
        <f>IF(AQ454="7",BI454,0)</f>
        <v>0</v>
      </c>
      <c r="AF454" s="32">
        <f>IF(AQ454="2",BH454,0)</f>
        <v>0</v>
      </c>
      <c r="AG454" s="32">
        <f>IF(AQ454="2",BI454,0)</f>
        <v>0</v>
      </c>
      <c r="AH454" s="32">
        <f>IF(AQ454="0",BJ454,0)</f>
        <v>0</v>
      </c>
      <c r="AI454" s="28"/>
      <c r="AJ454" s="15">
        <f>IF(AN454=0,K454,0)</f>
        <v>0</v>
      </c>
      <c r="AK454" s="15">
        <f>IF(AN454=15,K454,0)</f>
        <v>0</v>
      </c>
      <c r="AL454" s="15">
        <f>IF(AN454=21,K454,0)</f>
        <v>0</v>
      </c>
      <c r="AN454" s="32">
        <v>21</v>
      </c>
      <c r="AO454" s="32">
        <f>H454*0.073196998066239</f>
        <v>0</v>
      </c>
      <c r="AP454" s="32">
        <f>H454*(1-0.073196998066239)</f>
        <v>0</v>
      </c>
      <c r="AQ454" s="27" t="s">
        <v>7</v>
      </c>
      <c r="AV454" s="32">
        <f>AW454+AX454</f>
        <v>0</v>
      </c>
      <c r="AW454" s="32">
        <f>G454*AO454</f>
        <v>0</v>
      </c>
      <c r="AX454" s="32">
        <f>G454*AP454</f>
        <v>0</v>
      </c>
      <c r="AY454" s="33" t="s">
        <v>882</v>
      </c>
      <c r="AZ454" s="33" t="s">
        <v>894</v>
      </c>
      <c r="BA454" s="28" t="s">
        <v>895</v>
      </c>
      <c r="BC454" s="32">
        <f>AW454+AX454</f>
        <v>0</v>
      </c>
      <c r="BD454" s="32">
        <f>H454/(100-BE454)*100</f>
        <v>0</v>
      </c>
      <c r="BE454" s="32">
        <v>0</v>
      </c>
      <c r="BF454" s="32">
        <f>452</f>
        <v>452</v>
      </c>
      <c r="BH454" s="15">
        <f>G454*AO454</f>
        <v>0</v>
      </c>
      <c r="BI454" s="15">
        <f>G454*AP454</f>
        <v>0</v>
      </c>
      <c r="BJ454" s="15">
        <f>G454*H454</f>
        <v>0</v>
      </c>
    </row>
    <row r="455" spans="1:62" x14ac:dyDescent="0.2">
      <c r="C455" s="58" t="s">
        <v>756</v>
      </c>
      <c r="D455" s="59"/>
      <c r="E455" s="59"/>
      <c r="G455" s="16">
        <v>1.7729999999999999</v>
      </c>
    </row>
    <row r="456" spans="1:62" x14ac:dyDescent="0.2">
      <c r="A456" s="4" t="s">
        <v>144</v>
      </c>
      <c r="B456" s="4" t="s">
        <v>317</v>
      </c>
      <c r="C456" s="56" t="s">
        <v>757</v>
      </c>
      <c r="D456" s="57"/>
      <c r="E456" s="57"/>
      <c r="F456" s="4" t="s">
        <v>827</v>
      </c>
      <c r="G456" s="15">
        <v>10</v>
      </c>
      <c r="H456" s="15">
        <v>0</v>
      </c>
      <c r="I456" s="15">
        <f>G456*AO456</f>
        <v>0</v>
      </c>
      <c r="J456" s="15">
        <f>G456*AP456</f>
        <v>0</v>
      </c>
      <c r="K456" s="15">
        <f>G456*H456</f>
        <v>0</v>
      </c>
      <c r="L456" s="27"/>
      <c r="Z456" s="32">
        <f>IF(AQ456="5",BJ456,0)</f>
        <v>0</v>
      </c>
      <c r="AB456" s="32">
        <f>IF(AQ456="1",BH456,0)</f>
        <v>0</v>
      </c>
      <c r="AC456" s="32">
        <f>IF(AQ456="1",BI456,0)</f>
        <v>0</v>
      </c>
      <c r="AD456" s="32">
        <f>IF(AQ456="7",BH456,0)</f>
        <v>0</v>
      </c>
      <c r="AE456" s="32">
        <f>IF(AQ456="7",BI456,0)</f>
        <v>0</v>
      </c>
      <c r="AF456" s="32">
        <f>IF(AQ456="2",BH456,0)</f>
        <v>0</v>
      </c>
      <c r="AG456" s="32">
        <f>IF(AQ456="2",BI456,0)</f>
        <v>0</v>
      </c>
      <c r="AH456" s="32">
        <f>IF(AQ456="0",BJ456,0)</f>
        <v>0</v>
      </c>
      <c r="AI456" s="28"/>
      <c r="AJ456" s="15">
        <f>IF(AN456=0,K456,0)</f>
        <v>0</v>
      </c>
      <c r="AK456" s="15">
        <f>IF(AN456=15,K456,0)</f>
        <v>0</v>
      </c>
      <c r="AL456" s="15">
        <f>IF(AN456=21,K456,0)</f>
        <v>0</v>
      </c>
      <c r="AN456" s="32">
        <v>21</v>
      </c>
      <c r="AO456" s="32">
        <f>H456*0</f>
        <v>0</v>
      </c>
      <c r="AP456" s="32">
        <f>H456*(1-0)</f>
        <v>0</v>
      </c>
      <c r="AQ456" s="27" t="s">
        <v>7</v>
      </c>
      <c r="AV456" s="32">
        <f>AW456+AX456</f>
        <v>0</v>
      </c>
      <c r="AW456" s="32">
        <f>G456*AO456</f>
        <v>0</v>
      </c>
      <c r="AX456" s="32">
        <f>G456*AP456</f>
        <v>0</v>
      </c>
      <c r="AY456" s="33" t="s">
        <v>882</v>
      </c>
      <c r="AZ456" s="33" t="s">
        <v>894</v>
      </c>
      <c r="BA456" s="28" t="s">
        <v>895</v>
      </c>
      <c r="BC456" s="32">
        <f>AW456+AX456</f>
        <v>0</v>
      </c>
      <c r="BD456" s="32">
        <f>H456/(100-BE456)*100</f>
        <v>0</v>
      </c>
      <c r="BE456" s="32">
        <v>0</v>
      </c>
      <c r="BF456" s="32">
        <f>454</f>
        <v>454</v>
      </c>
      <c r="BH456" s="15">
        <f>G456*AO456</f>
        <v>0</v>
      </c>
      <c r="BI456" s="15">
        <f>G456*AP456</f>
        <v>0</v>
      </c>
      <c r="BJ456" s="15">
        <f>G456*H456</f>
        <v>0</v>
      </c>
    </row>
    <row r="457" spans="1:62" x14ac:dyDescent="0.2">
      <c r="C457" s="58" t="s">
        <v>758</v>
      </c>
      <c r="D457" s="59"/>
      <c r="E457" s="59"/>
      <c r="G457" s="16">
        <v>10</v>
      </c>
    </row>
    <row r="458" spans="1:62" x14ac:dyDescent="0.2">
      <c r="A458" s="4" t="s">
        <v>145</v>
      </c>
      <c r="B458" s="4" t="s">
        <v>318</v>
      </c>
      <c r="C458" s="56" t="s">
        <v>759</v>
      </c>
      <c r="D458" s="57"/>
      <c r="E458" s="57"/>
      <c r="F458" s="4" t="s">
        <v>823</v>
      </c>
      <c r="G458" s="15">
        <v>14.58</v>
      </c>
      <c r="H458" s="15">
        <v>0</v>
      </c>
      <c r="I458" s="15">
        <f>G458*AO458</f>
        <v>0</v>
      </c>
      <c r="J458" s="15">
        <f>G458*AP458</f>
        <v>0</v>
      </c>
      <c r="K458" s="15">
        <f>G458*H458</f>
        <v>0</v>
      </c>
      <c r="L458" s="27" t="s">
        <v>846</v>
      </c>
      <c r="Z458" s="32">
        <f>IF(AQ458="5",BJ458,0)</f>
        <v>0</v>
      </c>
      <c r="AB458" s="32">
        <f>IF(AQ458="1",BH458,0)</f>
        <v>0</v>
      </c>
      <c r="AC458" s="32">
        <f>IF(AQ458="1",BI458,0)</f>
        <v>0</v>
      </c>
      <c r="AD458" s="32">
        <f>IF(AQ458="7",BH458,0)</f>
        <v>0</v>
      </c>
      <c r="AE458" s="32">
        <f>IF(AQ458="7",BI458,0)</f>
        <v>0</v>
      </c>
      <c r="AF458" s="32">
        <f>IF(AQ458="2",BH458,0)</f>
        <v>0</v>
      </c>
      <c r="AG458" s="32">
        <f>IF(AQ458="2",BI458,0)</f>
        <v>0</v>
      </c>
      <c r="AH458" s="32">
        <f>IF(AQ458="0",BJ458,0)</f>
        <v>0</v>
      </c>
      <c r="AI458" s="28"/>
      <c r="AJ458" s="15">
        <f>IF(AN458=0,K458,0)</f>
        <v>0</v>
      </c>
      <c r="AK458" s="15">
        <f>IF(AN458=15,K458,0)</f>
        <v>0</v>
      </c>
      <c r="AL458" s="15">
        <f>IF(AN458=21,K458,0)</f>
        <v>0</v>
      </c>
      <c r="AN458" s="32">
        <v>21</v>
      </c>
      <c r="AO458" s="32">
        <f>H458*0.0447674418604651</f>
        <v>0</v>
      </c>
      <c r="AP458" s="32">
        <f>H458*(1-0.0447674418604651)</f>
        <v>0</v>
      </c>
      <c r="AQ458" s="27" t="s">
        <v>7</v>
      </c>
      <c r="AV458" s="32">
        <f>AW458+AX458</f>
        <v>0</v>
      </c>
      <c r="AW458" s="32">
        <f>G458*AO458</f>
        <v>0</v>
      </c>
      <c r="AX458" s="32">
        <f>G458*AP458</f>
        <v>0</v>
      </c>
      <c r="AY458" s="33" t="s">
        <v>882</v>
      </c>
      <c r="AZ458" s="33" t="s">
        <v>894</v>
      </c>
      <c r="BA458" s="28" t="s">
        <v>895</v>
      </c>
      <c r="BC458" s="32">
        <f>AW458+AX458</f>
        <v>0</v>
      </c>
      <c r="BD458" s="32">
        <f>H458/(100-BE458)*100</f>
        <v>0</v>
      </c>
      <c r="BE458" s="32">
        <v>0</v>
      </c>
      <c r="BF458" s="32">
        <f>456</f>
        <v>456</v>
      </c>
      <c r="BH458" s="15">
        <f>G458*AO458</f>
        <v>0</v>
      </c>
      <c r="BI458" s="15">
        <f>G458*AP458</f>
        <v>0</v>
      </c>
      <c r="BJ458" s="15">
        <f>G458*H458</f>
        <v>0</v>
      </c>
    </row>
    <row r="459" spans="1:62" x14ac:dyDescent="0.2">
      <c r="C459" s="58" t="s">
        <v>760</v>
      </c>
      <c r="D459" s="59"/>
      <c r="E459" s="59"/>
      <c r="G459" s="16">
        <v>12.96</v>
      </c>
    </row>
    <row r="460" spans="1:62" x14ac:dyDescent="0.2">
      <c r="C460" s="58" t="s">
        <v>761</v>
      </c>
      <c r="D460" s="59"/>
      <c r="E460" s="59"/>
      <c r="G460" s="16">
        <v>1.35</v>
      </c>
    </row>
    <row r="461" spans="1:62" x14ac:dyDescent="0.2">
      <c r="C461" s="58" t="s">
        <v>762</v>
      </c>
      <c r="D461" s="59"/>
      <c r="E461" s="59"/>
      <c r="G461" s="16">
        <v>0.27</v>
      </c>
    </row>
    <row r="462" spans="1:62" x14ac:dyDescent="0.2">
      <c r="C462" s="58" t="s">
        <v>763</v>
      </c>
      <c r="D462" s="59"/>
      <c r="E462" s="59"/>
      <c r="G462" s="16">
        <v>0</v>
      </c>
    </row>
    <row r="463" spans="1:62" x14ac:dyDescent="0.2">
      <c r="A463" s="4" t="s">
        <v>146</v>
      </c>
      <c r="B463" s="4" t="s">
        <v>319</v>
      </c>
      <c r="C463" s="56" t="s">
        <v>764</v>
      </c>
      <c r="D463" s="57"/>
      <c r="E463" s="57"/>
      <c r="F463" s="4" t="s">
        <v>826</v>
      </c>
      <c r="G463" s="15">
        <v>203.4</v>
      </c>
      <c r="H463" s="15">
        <v>0</v>
      </c>
      <c r="I463" s="15">
        <f>G463*AO463</f>
        <v>0</v>
      </c>
      <c r="J463" s="15">
        <f>G463*AP463</f>
        <v>0</v>
      </c>
      <c r="K463" s="15">
        <f>G463*H463</f>
        <v>0</v>
      </c>
      <c r="L463" s="27" t="s">
        <v>846</v>
      </c>
      <c r="Z463" s="32">
        <f>IF(AQ463="5",BJ463,0)</f>
        <v>0</v>
      </c>
      <c r="AB463" s="32">
        <f>IF(AQ463="1",BH463,0)</f>
        <v>0</v>
      </c>
      <c r="AC463" s="32">
        <f>IF(AQ463="1",BI463,0)</f>
        <v>0</v>
      </c>
      <c r="AD463" s="32">
        <f>IF(AQ463="7",BH463,0)</f>
        <v>0</v>
      </c>
      <c r="AE463" s="32">
        <f>IF(AQ463="7",BI463,0)</f>
        <v>0</v>
      </c>
      <c r="AF463" s="32">
        <f>IF(AQ463="2",BH463,0)</f>
        <v>0</v>
      </c>
      <c r="AG463" s="32">
        <f>IF(AQ463="2",BI463,0)</f>
        <v>0</v>
      </c>
      <c r="AH463" s="32">
        <f>IF(AQ463="0",BJ463,0)</f>
        <v>0</v>
      </c>
      <c r="AI463" s="28"/>
      <c r="AJ463" s="15">
        <f>IF(AN463=0,K463,0)</f>
        <v>0</v>
      </c>
      <c r="AK463" s="15">
        <f>IF(AN463=15,K463,0)</f>
        <v>0</v>
      </c>
      <c r="AL463" s="15">
        <f>IF(AN463=21,K463,0)</f>
        <v>0</v>
      </c>
      <c r="AN463" s="32">
        <v>21</v>
      </c>
      <c r="AO463" s="32">
        <f>H463*0</f>
        <v>0</v>
      </c>
      <c r="AP463" s="32">
        <f>H463*(1-0)</f>
        <v>0</v>
      </c>
      <c r="AQ463" s="27" t="s">
        <v>7</v>
      </c>
      <c r="AV463" s="32">
        <f>AW463+AX463</f>
        <v>0</v>
      </c>
      <c r="AW463" s="32">
        <f>G463*AO463</f>
        <v>0</v>
      </c>
      <c r="AX463" s="32">
        <f>G463*AP463</f>
        <v>0</v>
      </c>
      <c r="AY463" s="33" t="s">
        <v>882</v>
      </c>
      <c r="AZ463" s="33" t="s">
        <v>894</v>
      </c>
      <c r="BA463" s="28" t="s">
        <v>895</v>
      </c>
      <c r="BC463" s="32">
        <f>AW463+AX463</f>
        <v>0</v>
      </c>
      <c r="BD463" s="32">
        <f>H463/(100-BE463)*100</f>
        <v>0</v>
      </c>
      <c r="BE463" s="32">
        <v>0</v>
      </c>
      <c r="BF463" s="32">
        <f>461</f>
        <v>461</v>
      </c>
      <c r="BH463" s="15">
        <f>G463*AO463</f>
        <v>0</v>
      </c>
      <c r="BI463" s="15">
        <f>G463*AP463</f>
        <v>0</v>
      </c>
      <c r="BJ463" s="15">
        <f>G463*H463</f>
        <v>0</v>
      </c>
    </row>
    <row r="464" spans="1:62" x14ac:dyDescent="0.2">
      <c r="C464" s="58" t="s">
        <v>765</v>
      </c>
      <c r="D464" s="59"/>
      <c r="E464" s="59"/>
      <c r="G464" s="16">
        <v>203.4</v>
      </c>
    </row>
    <row r="465" spans="1:62" x14ac:dyDescent="0.2">
      <c r="A465" s="5"/>
      <c r="B465" s="13" t="s">
        <v>103</v>
      </c>
      <c r="C465" s="66" t="s">
        <v>766</v>
      </c>
      <c r="D465" s="67"/>
      <c r="E465" s="67"/>
      <c r="F465" s="5" t="s">
        <v>6</v>
      </c>
      <c r="G465" s="5" t="s">
        <v>6</v>
      </c>
      <c r="H465" s="5" t="s">
        <v>6</v>
      </c>
      <c r="I465" s="35">
        <f>SUM(I466:I492)</f>
        <v>0</v>
      </c>
      <c r="J465" s="35">
        <f>SUM(J466:J492)</f>
        <v>0</v>
      </c>
      <c r="K465" s="35">
        <f>SUM(K466:K492)</f>
        <v>0</v>
      </c>
      <c r="L465" s="28"/>
      <c r="AI465" s="28"/>
      <c r="AS465" s="35">
        <f>SUM(AJ466:AJ492)</f>
        <v>0</v>
      </c>
      <c r="AT465" s="35">
        <f>SUM(AK466:AK492)</f>
        <v>0</v>
      </c>
      <c r="AU465" s="35">
        <f>SUM(AL466:AL492)</f>
        <v>0</v>
      </c>
    </row>
    <row r="466" spans="1:62" x14ac:dyDescent="0.2">
      <c r="A466" s="4" t="s">
        <v>147</v>
      </c>
      <c r="B466" s="4" t="s">
        <v>320</v>
      </c>
      <c r="C466" s="56" t="s">
        <v>767</v>
      </c>
      <c r="D466" s="57"/>
      <c r="E466" s="57"/>
      <c r="F466" s="4" t="s">
        <v>823</v>
      </c>
      <c r="G466" s="15">
        <v>80.5</v>
      </c>
      <c r="H466" s="15">
        <v>0</v>
      </c>
      <c r="I466" s="15">
        <f>G466*AO466</f>
        <v>0</v>
      </c>
      <c r="J466" s="15">
        <f>G466*AP466</f>
        <v>0</v>
      </c>
      <c r="K466" s="15">
        <f>G466*H466</f>
        <v>0</v>
      </c>
      <c r="L466" s="27" t="s">
        <v>846</v>
      </c>
      <c r="Z466" s="32">
        <f>IF(AQ466="5",BJ466,0)</f>
        <v>0</v>
      </c>
      <c r="AB466" s="32">
        <f>IF(AQ466="1",BH466,0)</f>
        <v>0</v>
      </c>
      <c r="AC466" s="32">
        <f>IF(AQ466="1",BI466,0)</f>
        <v>0</v>
      </c>
      <c r="AD466" s="32">
        <f>IF(AQ466="7",BH466,0)</f>
        <v>0</v>
      </c>
      <c r="AE466" s="32">
        <f>IF(AQ466="7",BI466,0)</f>
        <v>0</v>
      </c>
      <c r="AF466" s="32">
        <f>IF(AQ466="2",BH466,0)</f>
        <v>0</v>
      </c>
      <c r="AG466" s="32">
        <f>IF(AQ466="2",BI466,0)</f>
        <v>0</v>
      </c>
      <c r="AH466" s="32">
        <f>IF(AQ466="0",BJ466,0)</f>
        <v>0</v>
      </c>
      <c r="AI466" s="28"/>
      <c r="AJ466" s="15">
        <f>IF(AN466=0,K466,0)</f>
        <v>0</v>
      </c>
      <c r="AK466" s="15">
        <f>IF(AN466=15,K466,0)</f>
        <v>0</v>
      </c>
      <c r="AL466" s="15">
        <f>IF(AN466=21,K466,0)</f>
        <v>0</v>
      </c>
      <c r="AN466" s="32">
        <v>21</v>
      </c>
      <c r="AO466" s="32">
        <f>H466*0</f>
        <v>0</v>
      </c>
      <c r="AP466" s="32">
        <f>H466*(1-0)</f>
        <v>0</v>
      </c>
      <c r="AQ466" s="27" t="s">
        <v>7</v>
      </c>
      <c r="AV466" s="32">
        <f>AW466+AX466</f>
        <v>0</v>
      </c>
      <c r="AW466" s="32">
        <f>G466*AO466</f>
        <v>0</v>
      </c>
      <c r="AX466" s="32">
        <f>G466*AP466</f>
        <v>0</v>
      </c>
      <c r="AY466" s="33" t="s">
        <v>883</v>
      </c>
      <c r="AZ466" s="33" t="s">
        <v>894</v>
      </c>
      <c r="BA466" s="28" t="s">
        <v>895</v>
      </c>
      <c r="BC466" s="32">
        <f>AW466+AX466</f>
        <v>0</v>
      </c>
      <c r="BD466" s="32">
        <f>H466/(100-BE466)*100</f>
        <v>0</v>
      </c>
      <c r="BE466" s="32">
        <v>0</v>
      </c>
      <c r="BF466" s="32">
        <f>464</f>
        <v>464</v>
      </c>
      <c r="BH466" s="15">
        <f>G466*AO466</f>
        <v>0</v>
      </c>
      <c r="BI466" s="15">
        <f>G466*AP466</f>
        <v>0</v>
      </c>
      <c r="BJ466" s="15">
        <f>G466*H466</f>
        <v>0</v>
      </c>
    </row>
    <row r="467" spans="1:62" x14ac:dyDescent="0.2">
      <c r="C467" s="58" t="s">
        <v>768</v>
      </c>
      <c r="D467" s="59"/>
      <c r="E467" s="59"/>
      <c r="G467" s="16">
        <v>80.5</v>
      </c>
    </row>
    <row r="468" spans="1:62" x14ac:dyDescent="0.2">
      <c r="A468" s="4" t="s">
        <v>148</v>
      </c>
      <c r="B468" s="4" t="s">
        <v>321</v>
      </c>
      <c r="C468" s="56" t="s">
        <v>769</v>
      </c>
      <c r="D468" s="57"/>
      <c r="E468" s="57"/>
      <c r="F468" s="4" t="s">
        <v>827</v>
      </c>
      <c r="G468" s="15">
        <v>3</v>
      </c>
      <c r="H468" s="15">
        <v>0</v>
      </c>
      <c r="I468" s="15">
        <f>G468*AO468</f>
        <v>0</v>
      </c>
      <c r="J468" s="15">
        <f>G468*AP468</f>
        <v>0</v>
      </c>
      <c r="K468" s="15">
        <f>G468*H468</f>
        <v>0</v>
      </c>
      <c r="L468" s="27" t="s">
        <v>846</v>
      </c>
      <c r="Z468" s="32">
        <f>IF(AQ468="5",BJ468,0)</f>
        <v>0</v>
      </c>
      <c r="AB468" s="32">
        <f>IF(AQ468="1",BH468,0)</f>
        <v>0</v>
      </c>
      <c r="AC468" s="32">
        <f>IF(AQ468="1",BI468,0)</f>
        <v>0</v>
      </c>
      <c r="AD468" s="32">
        <f>IF(AQ468="7",BH468,0)</f>
        <v>0</v>
      </c>
      <c r="AE468" s="32">
        <f>IF(AQ468="7",BI468,0)</f>
        <v>0</v>
      </c>
      <c r="AF468" s="32">
        <f>IF(AQ468="2",BH468,0)</f>
        <v>0</v>
      </c>
      <c r="AG468" s="32">
        <f>IF(AQ468="2",BI468,0)</f>
        <v>0</v>
      </c>
      <c r="AH468" s="32">
        <f>IF(AQ468="0",BJ468,0)</f>
        <v>0</v>
      </c>
      <c r="AI468" s="28"/>
      <c r="AJ468" s="15">
        <f>IF(AN468=0,K468,0)</f>
        <v>0</v>
      </c>
      <c r="AK468" s="15">
        <f>IF(AN468=15,K468,0)</f>
        <v>0</v>
      </c>
      <c r="AL468" s="15">
        <f>IF(AN468=21,K468,0)</f>
        <v>0</v>
      </c>
      <c r="AN468" s="32">
        <v>21</v>
      </c>
      <c r="AO468" s="32">
        <f>H468*0.0281535648994516</f>
        <v>0</v>
      </c>
      <c r="AP468" s="32">
        <f>H468*(1-0.0281535648994516)</f>
        <v>0</v>
      </c>
      <c r="AQ468" s="27" t="s">
        <v>7</v>
      </c>
      <c r="AV468" s="32">
        <f>AW468+AX468</f>
        <v>0</v>
      </c>
      <c r="AW468" s="32">
        <f>G468*AO468</f>
        <v>0</v>
      </c>
      <c r="AX468" s="32">
        <f>G468*AP468</f>
        <v>0</v>
      </c>
      <c r="AY468" s="33" t="s">
        <v>883</v>
      </c>
      <c r="AZ468" s="33" t="s">
        <v>894</v>
      </c>
      <c r="BA468" s="28" t="s">
        <v>895</v>
      </c>
      <c r="BC468" s="32">
        <f>AW468+AX468</f>
        <v>0</v>
      </c>
      <c r="BD468" s="32">
        <f>H468/(100-BE468)*100</f>
        <v>0</v>
      </c>
      <c r="BE468" s="32">
        <v>0</v>
      </c>
      <c r="BF468" s="32">
        <f>466</f>
        <v>466</v>
      </c>
      <c r="BH468" s="15">
        <f>G468*AO468</f>
        <v>0</v>
      </c>
      <c r="BI468" s="15">
        <f>G468*AP468</f>
        <v>0</v>
      </c>
      <c r="BJ468" s="15">
        <f>G468*H468</f>
        <v>0</v>
      </c>
    </row>
    <row r="469" spans="1:62" x14ac:dyDescent="0.2">
      <c r="C469" s="58" t="s">
        <v>770</v>
      </c>
      <c r="D469" s="59"/>
      <c r="E469" s="59"/>
      <c r="G469" s="16">
        <v>2</v>
      </c>
    </row>
    <row r="470" spans="1:62" x14ac:dyDescent="0.2">
      <c r="C470" s="58" t="s">
        <v>771</v>
      </c>
      <c r="D470" s="59"/>
      <c r="E470" s="59"/>
      <c r="G470" s="16">
        <v>1</v>
      </c>
    </row>
    <row r="471" spans="1:62" x14ac:dyDescent="0.2">
      <c r="A471" s="4" t="s">
        <v>149</v>
      </c>
      <c r="B471" s="4" t="s">
        <v>322</v>
      </c>
      <c r="C471" s="56" t="s">
        <v>772</v>
      </c>
      <c r="D471" s="57"/>
      <c r="E471" s="57"/>
      <c r="F471" s="4" t="s">
        <v>827</v>
      </c>
      <c r="G471" s="15">
        <v>5</v>
      </c>
      <c r="H471" s="15">
        <v>0</v>
      </c>
      <c r="I471" s="15">
        <f>G471*AO471</f>
        <v>0</v>
      </c>
      <c r="J471" s="15">
        <f>G471*AP471</f>
        <v>0</v>
      </c>
      <c r="K471" s="15">
        <f>G471*H471</f>
        <v>0</v>
      </c>
      <c r="L471" s="27" t="s">
        <v>846</v>
      </c>
      <c r="Z471" s="32">
        <f>IF(AQ471="5",BJ471,0)</f>
        <v>0</v>
      </c>
      <c r="AB471" s="32">
        <f>IF(AQ471="1",BH471,0)</f>
        <v>0</v>
      </c>
      <c r="AC471" s="32">
        <f>IF(AQ471="1",BI471,0)</f>
        <v>0</v>
      </c>
      <c r="AD471" s="32">
        <f>IF(AQ471="7",BH471,0)</f>
        <v>0</v>
      </c>
      <c r="AE471" s="32">
        <f>IF(AQ471="7",BI471,0)</f>
        <v>0</v>
      </c>
      <c r="AF471" s="32">
        <f>IF(AQ471="2",BH471,0)</f>
        <v>0</v>
      </c>
      <c r="AG471" s="32">
        <f>IF(AQ471="2",BI471,0)</f>
        <v>0</v>
      </c>
      <c r="AH471" s="32">
        <f>IF(AQ471="0",BJ471,0)</f>
        <v>0</v>
      </c>
      <c r="AI471" s="28"/>
      <c r="AJ471" s="15">
        <f>IF(AN471=0,K471,0)</f>
        <v>0</v>
      </c>
      <c r="AK471" s="15">
        <f>IF(AN471=15,K471,0)</f>
        <v>0</v>
      </c>
      <c r="AL471" s="15">
        <f>IF(AN471=21,K471,0)</f>
        <v>0</v>
      </c>
      <c r="AN471" s="32">
        <v>21</v>
      </c>
      <c r="AO471" s="32">
        <f>H471*0.0974683544303798</f>
        <v>0</v>
      </c>
      <c r="AP471" s="32">
        <f>H471*(1-0.0974683544303798)</f>
        <v>0</v>
      </c>
      <c r="AQ471" s="27" t="s">
        <v>7</v>
      </c>
      <c r="AV471" s="32">
        <f>AW471+AX471</f>
        <v>0</v>
      </c>
      <c r="AW471" s="32">
        <f>G471*AO471</f>
        <v>0</v>
      </c>
      <c r="AX471" s="32">
        <f>G471*AP471</f>
        <v>0</v>
      </c>
      <c r="AY471" s="33" t="s">
        <v>883</v>
      </c>
      <c r="AZ471" s="33" t="s">
        <v>894</v>
      </c>
      <c r="BA471" s="28" t="s">
        <v>895</v>
      </c>
      <c r="BC471" s="32">
        <f>AW471+AX471</f>
        <v>0</v>
      </c>
      <c r="BD471" s="32">
        <f>H471/(100-BE471)*100</f>
        <v>0</v>
      </c>
      <c r="BE471" s="32">
        <v>0</v>
      </c>
      <c r="BF471" s="32">
        <f>469</f>
        <v>469</v>
      </c>
      <c r="BH471" s="15">
        <f>G471*AO471</f>
        <v>0</v>
      </c>
      <c r="BI471" s="15">
        <f>G471*AP471</f>
        <v>0</v>
      </c>
      <c r="BJ471" s="15">
        <f>G471*H471</f>
        <v>0</v>
      </c>
    </row>
    <row r="472" spans="1:62" x14ac:dyDescent="0.2">
      <c r="C472" s="58" t="s">
        <v>773</v>
      </c>
      <c r="D472" s="59"/>
      <c r="E472" s="59"/>
      <c r="G472" s="16">
        <v>1</v>
      </c>
    </row>
    <row r="473" spans="1:62" x14ac:dyDescent="0.2">
      <c r="C473" s="58" t="s">
        <v>774</v>
      </c>
      <c r="D473" s="59"/>
      <c r="E473" s="59"/>
      <c r="G473" s="16">
        <v>2</v>
      </c>
    </row>
    <row r="474" spans="1:62" x14ac:dyDescent="0.2">
      <c r="C474" s="58" t="s">
        <v>775</v>
      </c>
      <c r="D474" s="59"/>
      <c r="E474" s="59"/>
      <c r="G474" s="16">
        <v>2</v>
      </c>
    </row>
    <row r="475" spans="1:62" x14ac:dyDescent="0.2">
      <c r="A475" s="4" t="s">
        <v>150</v>
      </c>
      <c r="B475" s="4" t="s">
        <v>323</v>
      </c>
      <c r="C475" s="56" t="s">
        <v>776</v>
      </c>
      <c r="D475" s="57"/>
      <c r="E475" s="57"/>
      <c r="F475" s="4" t="s">
        <v>827</v>
      </c>
      <c r="G475" s="15">
        <v>6</v>
      </c>
      <c r="H475" s="15">
        <v>0</v>
      </c>
      <c r="I475" s="15">
        <f>G475*AO475</f>
        <v>0</v>
      </c>
      <c r="J475" s="15">
        <f>G475*AP475</f>
        <v>0</v>
      </c>
      <c r="K475" s="15">
        <f>G475*H475</f>
        <v>0</v>
      </c>
      <c r="L475" s="27" t="s">
        <v>846</v>
      </c>
      <c r="Z475" s="32">
        <f>IF(AQ475="5",BJ475,0)</f>
        <v>0</v>
      </c>
      <c r="AB475" s="32">
        <f>IF(AQ475="1",BH475,0)</f>
        <v>0</v>
      </c>
      <c r="AC475" s="32">
        <f>IF(AQ475="1",BI475,0)</f>
        <v>0</v>
      </c>
      <c r="AD475" s="32">
        <f>IF(AQ475="7",BH475,0)</f>
        <v>0</v>
      </c>
      <c r="AE475" s="32">
        <f>IF(AQ475="7",BI475,0)</f>
        <v>0</v>
      </c>
      <c r="AF475" s="32">
        <f>IF(AQ475="2",BH475,0)</f>
        <v>0</v>
      </c>
      <c r="AG475" s="32">
        <f>IF(AQ475="2",BI475,0)</f>
        <v>0</v>
      </c>
      <c r="AH475" s="32">
        <f>IF(AQ475="0",BJ475,0)</f>
        <v>0</v>
      </c>
      <c r="AI475" s="28"/>
      <c r="AJ475" s="15">
        <f>IF(AN475=0,K475,0)</f>
        <v>0</v>
      </c>
      <c r="AK475" s="15">
        <f>IF(AN475=15,K475,0)</f>
        <v>0</v>
      </c>
      <c r="AL475" s="15">
        <f>IF(AN475=21,K475,0)</f>
        <v>0</v>
      </c>
      <c r="AN475" s="32">
        <v>21</v>
      </c>
      <c r="AO475" s="32">
        <f>H475*0.0576779026217228</f>
        <v>0</v>
      </c>
      <c r="AP475" s="32">
        <f>H475*(1-0.0576779026217228)</f>
        <v>0</v>
      </c>
      <c r="AQ475" s="27" t="s">
        <v>7</v>
      </c>
      <c r="AV475" s="32">
        <f>AW475+AX475</f>
        <v>0</v>
      </c>
      <c r="AW475" s="32">
        <f>G475*AO475</f>
        <v>0</v>
      </c>
      <c r="AX475" s="32">
        <f>G475*AP475</f>
        <v>0</v>
      </c>
      <c r="AY475" s="33" t="s">
        <v>883</v>
      </c>
      <c r="AZ475" s="33" t="s">
        <v>894</v>
      </c>
      <c r="BA475" s="28" t="s">
        <v>895</v>
      </c>
      <c r="BC475" s="32">
        <f>AW475+AX475</f>
        <v>0</v>
      </c>
      <c r="BD475" s="32">
        <f>H475/(100-BE475)*100</f>
        <v>0</v>
      </c>
      <c r="BE475" s="32">
        <v>0</v>
      </c>
      <c r="BF475" s="32">
        <f>473</f>
        <v>473</v>
      </c>
      <c r="BH475" s="15">
        <f>G475*AO475</f>
        <v>0</v>
      </c>
      <c r="BI475" s="15">
        <f>G475*AP475</f>
        <v>0</v>
      </c>
      <c r="BJ475" s="15">
        <f>G475*H475</f>
        <v>0</v>
      </c>
    </row>
    <row r="476" spans="1:62" x14ac:dyDescent="0.2">
      <c r="C476" s="58" t="s">
        <v>777</v>
      </c>
      <c r="D476" s="59"/>
      <c r="E476" s="59"/>
      <c r="G476" s="16">
        <v>4</v>
      </c>
    </row>
    <row r="477" spans="1:62" x14ac:dyDescent="0.2">
      <c r="C477" s="58" t="s">
        <v>775</v>
      </c>
      <c r="D477" s="59"/>
      <c r="E477" s="59"/>
      <c r="G477" s="16">
        <v>2</v>
      </c>
    </row>
    <row r="478" spans="1:62" x14ac:dyDescent="0.2">
      <c r="A478" s="4" t="s">
        <v>151</v>
      </c>
      <c r="B478" s="4" t="s">
        <v>324</v>
      </c>
      <c r="C478" s="56" t="s">
        <v>778</v>
      </c>
      <c r="D478" s="57"/>
      <c r="E478" s="57"/>
      <c r="F478" s="4" t="s">
        <v>827</v>
      </c>
      <c r="G478" s="15">
        <v>6</v>
      </c>
      <c r="H478" s="15">
        <v>0</v>
      </c>
      <c r="I478" s="15">
        <f>G478*AO478</f>
        <v>0</v>
      </c>
      <c r="J478" s="15">
        <f>G478*AP478</f>
        <v>0</v>
      </c>
      <c r="K478" s="15">
        <f>G478*H478</f>
        <v>0</v>
      </c>
      <c r="L478" s="27" t="s">
        <v>846</v>
      </c>
      <c r="Z478" s="32">
        <f>IF(AQ478="5",BJ478,0)</f>
        <v>0</v>
      </c>
      <c r="AB478" s="32">
        <f>IF(AQ478="1",BH478,0)</f>
        <v>0</v>
      </c>
      <c r="AC478" s="32">
        <f>IF(AQ478="1",BI478,0)</f>
        <v>0</v>
      </c>
      <c r="AD478" s="32">
        <f>IF(AQ478="7",BH478,0)</f>
        <v>0</v>
      </c>
      <c r="AE478" s="32">
        <f>IF(AQ478="7",BI478,0)</f>
        <v>0</v>
      </c>
      <c r="AF478" s="32">
        <f>IF(AQ478="2",BH478,0)</f>
        <v>0</v>
      </c>
      <c r="AG478" s="32">
        <f>IF(AQ478="2",BI478,0)</f>
        <v>0</v>
      </c>
      <c r="AH478" s="32">
        <f>IF(AQ478="0",BJ478,0)</f>
        <v>0</v>
      </c>
      <c r="AI478" s="28"/>
      <c r="AJ478" s="15">
        <f>IF(AN478=0,K478,0)</f>
        <v>0</v>
      </c>
      <c r="AK478" s="15">
        <f>IF(AN478=15,K478,0)</f>
        <v>0</v>
      </c>
      <c r="AL478" s="15">
        <f>IF(AN478=21,K478,0)</f>
        <v>0</v>
      </c>
      <c r="AN478" s="32">
        <v>21</v>
      </c>
      <c r="AO478" s="32">
        <f>H478*0.0974683544303798</f>
        <v>0</v>
      </c>
      <c r="AP478" s="32">
        <f>H478*(1-0.0974683544303798)</f>
        <v>0</v>
      </c>
      <c r="AQ478" s="27" t="s">
        <v>7</v>
      </c>
      <c r="AV478" s="32">
        <f>AW478+AX478</f>
        <v>0</v>
      </c>
      <c r="AW478" s="32">
        <f>G478*AO478</f>
        <v>0</v>
      </c>
      <c r="AX478" s="32">
        <f>G478*AP478</f>
        <v>0</v>
      </c>
      <c r="AY478" s="33" t="s">
        <v>883</v>
      </c>
      <c r="AZ478" s="33" t="s">
        <v>894</v>
      </c>
      <c r="BA478" s="28" t="s">
        <v>895</v>
      </c>
      <c r="BC478" s="32">
        <f>AW478+AX478</f>
        <v>0</v>
      </c>
      <c r="BD478" s="32">
        <f>H478/(100-BE478)*100</f>
        <v>0</v>
      </c>
      <c r="BE478" s="32">
        <v>0</v>
      </c>
      <c r="BF478" s="32">
        <f>476</f>
        <v>476</v>
      </c>
      <c r="BH478" s="15">
        <f>G478*AO478</f>
        <v>0</v>
      </c>
      <c r="BI478" s="15">
        <f>G478*AP478</f>
        <v>0</v>
      </c>
      <c r="BJ478" s="15">
        <f>G478*H478</f>
        <v>0</v>
      </c>
    </row>
    <row r="479" spans="1:62" x14ac:dyDescent="0.2">
      <c r="C479" s="58" t="s">
        <v>770</v>
      </c>
      <c r="D479" s="59"/>
      <c r="E479" s="59"/>
      <c r="G479" s="16">
        <v>2</v>
      </c>
    </row>
    <row r="480" spans="1:62" x14ac:dyDescent="0.2">
      <c r="C480" s="58" t="s">
        <v>774</v>
      </c>
      <c r="D480" s="59"/>
      <c r="E480" s="59"/>
      <c r="G480" s="16">
        <v>2</v>
      </c>
    </row>
    <row r="481" spans="1:62" x14ac:dyDescent="0.2">
      <c r="C481" s="58" t="s">
        <v>775</v>
      </c>
      <c r="D481" s="59"/>
      <c r="E481" s="59"/>
      <c r="G481" s="16">
        <v>2</v>
      </c>
    </row>
    <row r="482" spans="1:62" x14ac:dyDescent="0.2">
      <c r="A482" s="4" t="s">
        <v>152</v>
      </c>
      <c r="B482" s="4" t="s">
        <v>325</v>
      </c>
      <c r="C482" s="56" t="s">
        <v>779</v>
      </c>
      <c r="D482" s="57"/>
      <c r="E482" s="57"/>
      <c r="F482" s="4" t="s">
        <v>827</v>
      </c>
      <c r="G482" s="15">
        <v>9</v>
      </c>
      <c r="H482" s="15">
        <v>0</v>
      </c>
      <c r="I482" s="15">
        <f>G482*AO482</f>
        <v>0</v>
      </c>
      <c r="J482" s="15">
        <f>G482*AP482</f>
        <v>0</v>
      </c>
      <c r="K482" s="15">
        <f>G482*H482</f>
        <v>0</v>
      </c>
      <c r="L482" s="27" t="s">
        <v>846</v>
      </c>
      <c r="Z482" s="32">
        <f>IF(AQ482="5",BJ482,0)</f>
        <v>0</v>
      </c>
      <c r="AB482" s="32">
        <f>IF(AQ482="1",BH482,0)</f>
        <v>0</v>
      </c>
      <c r="AC482" s="32">
        <f>IF(AQ482="1",BI482,0)</f>
        <v>0</v>
      </c>
      <c r="AD482" s="32">
        <f>IF(AQ482="7",BH482,0)</f>
        <v>0</v>
      </c>
      <c r="AE482" s="32">
        <f>IF(AQ482="7",BI482,0)</f>
        <v>0</v>
      </c>
      <c r="AF482" s="32">
        <f>IF(AQ482="2",BH482,0)</f>
        <v>0</v>
      </c>
      <c r="AG482" s="32">
        <f>IF(AQ482="2",BI482,0)</f>
        <v>0</v>
      </c>
      <c r="AH482" s="32">
        <f>IF(AQ482="0",BJ482,0)</f>
        <v>0</v>
      </c>
      <c r="AI482" s="28"/>
      <c r="AJ482" s="15">
        <f>IF(AN482=0,K482,0)</f>
        <v>0</v>
      </c>
      <c r="AK482" s="15">
        <f>IF(AN482=15,K482,0)</f>
        <v>0</v>
      </c>
      <c r="AL482" s="15">
        <f>IF(AN482=21,K482,0)</f>
        <v>0</v>
      </c>
      <c r="AN482" s="32">
        <v>21</v>
      </c>
      <c r="AO482" s="32">
        <f>H482*0</f>
        <v>0</v>
      </c>
      <c r="AP482" s="32">
        <f>H482*(1-0)</f>
        <v>0</v>
      </c>
      <c r="AQ482" s="27" t="s">
        <v>7</v>
      </c>
      <c r="AV482" s="32">
        <f>AW482+AX482</f>
        <v>0</v>
      </c>
      <c r="AW482" s="32">
        <f>G482*AO482</f>
        <v>0</v>
      </c>
      <c r="AX482" s="32">
        <f>G482*AP482</f>
        <v>0</v>
      </c>
      <c r="AY482" s="33" t="s">
        <v>883</v>
      </c>
      <c r="AZ482" s="33" t="s">
        <v>894</v>
      </c>
      <c r="BA482" s="28" t="s">
        <v>895</v>
      </c>
      <c r="BC482" s="32">
        <f>AW482+AX482</f>
        <v>0</v>
      </c>
      <c r="BD482" s="32">
        <f>H482/(100-BE482)*100</f>
        <v>0</v>
      </c>
      <c r="BE482" s="32">
        <v>0</v>
      </c>
      <c r="BF482" s="32">
        <f>480</f>
        <v>480</v>
      </c>
      <c r="BH482" s="15">
        <f>G482*AO482</f>
        <v>0</v>
      </c>
      <c r="BI482" s="15">
        <f>G482*AP482</f>
        <v>0</v>
      </c>
      <c r="BJ482" s="15">
        <f>G482*H482</f>
        <v>0</v>
      </c>
    </row>
    <row r="483" spans="1:62" x14ac:dyDescent="0.2">
      <c r="C483" s="58" t="s">
        <v>780</v>
      </c>
      <c r="D483" s="59"/>
      <c r="E483" s="59"/>
      <c r="G483" s="16">
        <v>3</v>
      </c>
    </row>
    <row r="484" spans="1:62" x14ac:dyDescent="0.2">
      <c r="C484" s="58" t="s">
        <v>781</v>
      </c>
      <c r="D484" s="59"/>
      <c r="E484" s="59"/>
      <c r="G484" s="16">
        <v>6</v>
      </c>
    </row>
    <row r="485" spans="1:62" x14ac:dyDescent="0.2">
      <c r="A485" s="4" t="s">
        <v>153</v>
      </c>
      <c r="B485" s="4" t="s">
        <v>326</v>
      </c>
      <c r="C485" s="56" t="s">
        <v>782</v>
      </c>
      <c r="D485" s="57"/>
      <c r="E485" s="57"/>
      <c r="F485" s="4" t="s">
        <v>826</v>
      </c>
      <c r="G485" s="15">
        <v>14.0825</v>
      </c>
      <c r="H485" s="15">
        <v>0</v>
      </c>
      <c r="I485" s="15">
        <f>G485*AO485</f>
        <v>0</v>
      </c>
      <c r="J485" s="15">
        <f>G485*AP485</f>
        <v>0</v>
      </c>
      <c r="K485" s="15">
        <f>G485*H485</f>
        <v>0</v>
      </c>
      <c r="L485" s="27" t="s">
        <v>846</v>
      </c>
      <c r="Z485" s="32">
        <f>IF(AQ485="5",BJ485,0)</f>
        <v>0</v>
      </c>
      <c r="AB485" s="32">
        <f>IF(AQ485="1",BH485,0)</f>
        <v>0</v>
      </c>
      <c r="AC485" s="32">
        <f>IF(AQ485="1",BI485,0)</f>
        <v>0</v>
      </c>
      <c r="AD485" s="32">
        <f>IF(AQ485="7",BH485,0)</f>
        <v>0</v>
      </c>
      <c r="AE485" s="32">
        <f>IF(AQ485="7",BI485,0)</f>
        <v>0</v>
      </c>
      <c r="AF485" s="32">
        <f>IF(AQ485="2",BH485,0)</f>
        <v>0</v>
      </c>
      <c r="AG485" s="32">
        <f>IF(AQ485="2",BI485,0)</f>
        <v>0</v>
      </c>
      <c r="AH485" s="32">
        <f>IF(AQ485="0",BJ485,0)</f>
        <v>0</v>
      </c>
      <c r="AI485" s="28"/>
      <c r="AJ485" s="15">
        <f>IF(AN485=0,K485,0)</f>
        <v>0</v>
      </c>
      <c r="AK485" s="15">
        <f>IF(AN485=15,K485,0)</f>
        <v>0</v>
      </c>
      <c r="AL485" s="15">
        <f>IF(AN485=21,K485,0)</f>
        <v>0</v>
      </c>
      <c r="AN485" s="32">
        <v>21</v>
      </c>
      <c r="AO485" s="32">
        <f>H485*0.193977035490605</f>
        <v>0</v>
      </c>
      <c r="AP485" s="32">
        <f>H485*(1-0.193977035490605)</f>
        <v>0</v>
      </c>
      <c r="AQ485" s="27" t="s">
        <v>7</v>
      </c>
      <c r="AV485" s="32">
        <f>AW485+AX485</f>
        <v>0</v>
      </c>
      <c r="AW485" s="32">
        <f>G485*AO485</f>
        <v>0</v>
      </c>
      <c r="AX485" s="32">
        <f>G485*AP485</f>
        <v>0</v>
      </c>
      <c r="AY485" s="33" t="s">
        <v>883</v>
      </c>
      <c r="AZ485" s="33" t="s">
        <v>894</v>
      </c>
      <c r="BA485" s="28" t="s">
        <v>895</v>
      </c>
      <c r="BC485" s="32">
        <f>AW485+AX485</f>
        <v>0</v>
      </c>
      <c r="BD485" s="32">
        <f>H485/(100-BE485)*100</f>
        <v>0</v>
      </c>
      <c r="BE485" s="32">
        <v>0</v>
      </c>
      <c r="BF485" s="32">
        <f>483</f>
        <v>483</v>
      </c>
      <c r="BH485" s="15">
        <f>G485*AO485</f>
        <v>0</v>
      </c>
      <c r="BI485" s="15">
        <f>G485*AP485</f>
        <v>0</v>
      </c>
      <c r="BJ485" s="15">
        <f>G485*H485</f>
        <v>0</v>
      </c>
    </row>
    <row r="486" spans="1:62" x14ac:dyDescent="0.2">
      <c r="C486" s="58" t="s">
        <v>783</v>
      </c>
      <c r="D486" s="59"/>
      <c r="E486" s="59"/>
      <c r="G486" s="16">
        <v>6.64</v>
      </c>
    </row>
    <row r="487" spans="1:62" x14ac:dyDescent="0.2">
      <c r="C487" s="58" t="s">
        <v>784</v>
      </c>
      <c r="D487" s="59"/>
      <c r="E487" s="59"/>
      <c r="G487" s="16">
        <v>7.4424999999999999</v>
      </c>
    </row>
    <row r="488" spans="1:62" x14ac:dyDescent="0.2">
      <c r="A488" s="4" t="s">
        <v>154</v>
      </c>
      <c r="B488" s="4" t="s">
        <v>327</v>
      </c>
      <c r="C488" s="56" t="s">
        <v>785</v>
      </c>
      <c r="D488" s="57"/>
      <c r="E488" s="57"/>
      <c r="F488" s="4" t="s">
        <v>826</v>
      </c>
      <c r="G488" s="15">
        <v>11.74</v>
      </c>
      <c r="H488" s="15">
        <v>0</v>
      </c>
      <c r="I488" s="15">
        <f>G488*AO488</f>
        <v>0</v>
      </c>
      <c r="J488" s="15">
        <f>G488*AP488</f>
        <v>0</v>
      </c>
      <c r="K488" s="15">
        <f>G488*H488</f>
        <v>0</v>
      </c>
      <c r="L488" s="27" t="s">
        <v>846</v>
      </c>
      <c r="Z488" s="32">
        <f>IF(AQ488="5",BJ488,0)</f>
        <v>0</v>
      </c>
      <c r="AB488" s="32">
        <f>IF(AQ488="1",BH488,0)</f>
        <v>0</v>
      </c>
      <c r="AC488" s="32">
        <f>IF(AQ488="1",BI488,0)</f>
        <v>0</v>
      </c>
      <c r="AD488" s="32">
        <f>IF(AQ488="7",BH488,0)</f>
        <v>0</v>
      </c>
      <c r="AE488" s="32">
        <f>IF(AQ488="7",BI488,0)</f>
        <v>0</v>
      </c>
      <c r="AF488" s="32">
        <f>IF(AQ488="2",BH488,0)</f>
        <v>0</v>
      </c>
      <c r="AG488" s="32">
        <f>IF(AQ488="2",BI488,0)</f>
        <v>0</v>
      </c>
      <c r="AH488" s="32">
        <f>IF(AQ488="0",BJ488,0)</f>
        <v>0</v>
      </c>
      <c r="AI488" s="28"/>
      <c r="AJ488" s="15">
        <f>IF(AN488=0,K488,0)</f>
        <v>0</v>
      </c>
      <c r="AK488" s="15">
        <f>IF(AN488=15,K488,0)</f>
        <v>0</v>
      </c>
      <c r="AL488" s="15">
        <f>IF(AN488=21,K488,0)</f>
        <v>0</v>
      </c>
      <c r="AN488" s="32">
        <v>21</v>
      </c>
      <c r="AO488" s="32">
        <f>H488*0.162469879518072</f>
        <v>0</v>
      </c>
      <c r="AP488" s="32">
        <f>H488*(1-0.162469879518072)</f>
        <v>0</v>
      </c>
      <c r="AQ488" s="27" t="s">
        <v>7</v>
      </c>
      <c r="AV488" s="32">
        <f>AW488+AX488</f>
        <v>0</v>
      </c>
      <c r="AW488" s="32">
        <f>G488*AO488</f>
        <v>0</v>
      </c>
      <c r="AX488" s="32">
        <f>G488*AP488</f>
        <v>0</v>
      </c>
      <c r="AY488" s="33" t="s">
        <v>883</v>
      </c>
      <c r="AZ488" s="33" t="s">
        <v>894</v>
      </c>
      <c r="BA488" s="28" t="s">
        <v>895</v>
      </c>
      <c r="BC488" s="32">
        <f>AW488+AX488</f>
        <v>0</v>
      </c>
      <c r="BD488" s="32">
        <f>H488/(100-BE488)*100</f>
        <v>0</v>
      </c>
      <c r="BE488" s="32">
        <v>0</v>
      </c>
      <c r="BF488" s="32">
        <f>486</f>
        <v>486</v>
      </c>
      <c r="BH488" s="15">
        <f>G488*AO488</f>
        <v>0</v>
      </c>
      <c r="BI488" s="15">
        <f>G488*AP488</f>
        <v>0</v>
      </c>
      <c r="BJ488" s="15">
        <f>G488*H488</f>
        <v>0</v>
      </c>
    </row>
    <row r="489" spans="1:62" x14ac:dyDescent="0.2">
      <c r="C489" s="58" t="s">
        <v>786</v>
      </c>
      <c r="D489" s="59"/>
      <c r="E489" s="59"/>
      <c r="G489" s="16">
        <v>3.9</v>
      </c>
    </row>
    <row r="490" spans="1:62" x14ac:dyDescent="0.2">
      <c r="C490" s="58" t="s">
        <v>787</v>
      </c>
      <c r="D490" s="59"/>
      <c r="E490" s="59"/>
      <c r="G490" s="16">
        <v>6.74</v>
      </c>
    </row>
    <row r="491" spans="1:62" x14ac:dyDescent="0.2">
      <c r="C491" s="58" t="s">
        <v>788</v>
      </c>
      <c r="D491" s="59"/>
      <c r="E491" s="59"/>
      <c r="G491" s="16">
        <v>1.1000000000000001</v>
      </c>
    </row>
    <row r="492" spans="1:62" x14ac:dyDescent="0.2">
      <c r="A492" s="4" t="s">
        <v>155</v>
      </c>
      <c r="B492" s="4" t="s">
        <v>328</v>
      </c>
      <c r="C492" s="56" t="s">
        <v>789</v>
      </c>
      <c r="D492" s="57"/>
      <c r="E492" s="57"/>
      <c r="F492" s="4" t="s">
        <v>824</v>
      </c>
      <c r="G492" s="15">
        <v>5.8969800000000001</v>
      </c>
      <c r="H492" s="15">
        <v>0</v>
      </c>
      <c r="I492" s="15">
        <f>G492*AO492</f>
        <v>0</v>
      </c>
      <c r="J492" s="15">
        <f>G492*AP492</f>
        <v>0</v>
      </c>
      <c r="K492" s="15">
        <f>G492*H492</f>
        <v>0</v>
      </c>
      <c r="L492" s="27" t="s">
        <v>846</v>
      </c>
      <c r="Z492" s="32">
        <f>IF(AQ492="5",BJ492,0)</f>
        <v>0</v>
      </c>
      <c r="AB492" s="32">
        <f>IF(AQ492="1",BH492,0)</f>
        <v>0</v>
      </c>
      <c r="AC492" s="32">
        <f>IF(AQ492="1",BI492,0)</f>
        <v>0</v>
      </c>
      <c r="AD492" s="32">
        <f>IF(AQ492="7",BH492,0)</f>
        <v>0</v>
      </c>
      <c r="AE492" s="32">
        <f>IF(AQ492="7",BI492,0)</f>
        <v>0</v>
      </c>
      <c r="AF492" s="32">
        <f>IF(AQ492="2",BH492,0)</f>
        <v>0</v>
      </c>
      <c r="AG492" s="32">
        <f>IF(AQ492="2",BI492,0)</f>
        <v>0</v>
      </c>
      <c r="AH492" s="32">
        <f>IF(AQ492="0",BJ492,0)</f>
        <v>0</v>
      </c>
      <c r="AI492" s="28"/>
      <c r="AJ492" s="15">
        <f>IF(AN492=0,K492,0)</f>
        <v>0</v>
      </c>
      <c r="AK492" s="15">
        <f>IF(AN492=15,K492,0)</f>
        <v>0</v>
      </c>
      <c r="AL492" s="15">
        <f>IF(AN492=21,K492,0)</f>
        <v>0</v>
      </c>
      <c r="AN492" s="32">
        <v>21</v>
      </c>
      <c r="AO492" s="32">
        <f>H492*0</f>
        <v>0</v>
      </c>
      <c r="AP492" s="32">
        <f>H492*(1-0)</f>
        <v>0</v>
      </c>
      <c r="AQ492" s="27" t="s">
        <v>7</v>
      </c>
      <c r="AV492" s="32">
        <f>AW492+AX492</f>
        <v>0</v>
      </c>
      <c r="AW492" s="32">
        <f>G492*AO492</f>
        <v>0</v>
      </c>
      <c r="AX492" s="32">
        <f>G492*AP492</f>
        <v>0</v>
      </c>
      <c r="AY492" s="33" t="s">
        <v>883</v>
      </c>
      <c r="AZ492" s="33" t="s">
        <v>894</v>
      </c>
      <c r="BA492" s="28" t="s">
        <v>895</v>
      </c>
      <c r="BC492" s="32">
        <f>AW492+AX492</f>
        <v>0</v>
      </c>
      <c r="BD492" s="32">
        <f>H492/(100-BE492)*100</f>
        <v>0</v>
      </c>
      <c r="BE492" s="32">
        <v>0</v>
      </c>
      <c r="BF492" s="32">
        <f>490</f>
        <v>490</v>
      </c>
      <c r="BH492" s="15">
        <f>G492*AO492</f>
        <v>0</v>
      </c>
      <c r="BI492" s="15">
        <f>G492*AP492</f>
        <v>0</v>
      </c>
      <c r="BJ492" s="15">
        <f>G492*H492</f>
        <v>0</v>
      </c>
    </row>
    <row r="493" spans="1:62" x14ac:dyDescent="0.2">
      <c r="C493" s="58" t="s">
        <v>790</v>
      </c>
      <c r="D493" s="59"/>
      <c r="E493" s="59"/>
      <c r="G493" s="16">
        <v>0.26042999999999999</v>
      </c>
    </row>
    <row r="494" spans="1:62" x14ac:dyDescent="0.2">
      <c r="C494" s="58" t="s">
        <v>791</v>
      </c>
      <c r="D494" s="59"/>
      <c r="E494" s="59"/>
      <c r="G494" s="16">
        <v>0.40500000000000003</v>
      </c>
    </row>
    <row r="495" spans="1:62" x14ac:dyDescent="0.2">
      <c r="C495" s="58" t="s">
        <v>792</v>
      </c>
      <c r="D495" s="59"/>
      <c r="E495" s="59"/>
      <c r="G495" s="16">
        <v>0.24975</v>
      </c>
    </row>
    <row r="496" spans="1:62" x14ac:dyDescent="0.2">
      <c r="C496" s="58" t="s">
        <v>666</v>
      </c>
      <c r="D496" s="59"/>
      <c r="E496" s="59"/>
      <c r="G496" s="16">
        <v>0</v>
      </c>
    </row>
    <row r="497" spans="1:62" x14ac:dyDescent="0.2">
      <c r="C497" s="58" t="s">
        <v>793</v>
      </c>
      <c r="D497" s="59"/>
      <c r="E497" s="59"/>
      <c r="G497" s="16">
        <v>4.9817999999999998</v>
      </c>
    </row>
    <row r="498" spans="1:62" x14ac:dyDescent="0.2">
      <c r="A498" s="5"/>
      <c r="B498" s="13" t="s">
        <v>329</v>
      </c>
      <c r="C498" s="66" t="s">
        <v>794</v>
      </c>
      <c r="D498" s="67"/>
      <c r="E498" s="67"/>
      <c r="F498" s="5" t="s">
        <v>6</v>
      </c>
      <c r="G498" s="5" t="s">
        <v>6</v>
      </c>
      <c r="H498" s="5" t="s">
        <v>6</v>
      </c>
      <c r="I498" s="35">
        <f>SUM(I499:I499)</f>
        <v>0</v>
      </c>
      <c r="J498" s="35">
        <f>SUM(J499:J499)</f>
        <v>0</v>
      </c>
      <c r="K498" s="35">
        <f>SUM(K499:K499)</f>
        <v>0</v>
      </c>
      <c r="L498" s="28"/>
      <c r="AI498" s="28"/>
      <c r="AS498" s="35">
        <f>SUM(AJ499:AJ499)</f>
        <v>0</v>
      </c>
      <c r="AT498" s="35">
        <f>SUM(AK499:AK499)</f>
        <v>0</v>
      </c>
      <c r="AU498" s="35">
        <f>SUM(AL499:AL499)</f>
        <v>0</v>
      </c>
    </row>
    <row r="499" spans="1:62" x14ac:dyDescent="0.2">
      <c r="A499" s="4" t="s">
        <v>156</v>
      </c>
      <c r="B499" s="4" t="s">
        <v>330</v>
      </c>
      <c r="C499" s="56" t="s">
        <v>795</v>
      </c>
      <c r="D499" s="57"/>
      <c r="E499" s="57"/>
      <c r="F499" s="4" t="s">
        <v>828</v>
      </c>
      <c r="G499" s="15">
        <v>140.11623</v>
      </c>
      <c r="H499" s="15">
        <v>0</v>
      </c>
      <c r="I499" s="15">
        <f>G499*AO499</f>
        <v>0</v>
      </c>
      <c r="J499" s="15">
        <f>G499*AP499</f>
        <v>0</v>
      </c>
      <c r="K499" s="15">
        <f>G499*H499</f>
        <v>0</v>
      </c>
      <c r="L499" s="27" t="s">
        <v>846</v>
      </c>
      <c r="Z499" s="32">
        <f>IF(AQ499="5",BJ499,0)</f>
        <v>0</v>
      </c>
      <c r="AB499" s="32">
        <f>IF(AQ499="1",BH499,0)</f>
        <v>0</v>
      </c>
      <c r="AC499" s="32">
        <f>IF(AQ499="1",BI499,0)</f>
        <v>0</v>
      </c>
      <c r="AD499" s="32">
        <f>IF(AQ499="7",BH499,0)</f>
        <v>0</v>
      </c>
      <c r="AE499" s="32">
        <f>IF(AQ499="7",BI499,0)</f>
        <v>0</v>
      </c>
      <c r="AF499" s="32">
        <f>IF(AQ499="2",BH499,0)</f>
        <v>0</v>
      </c>
      <c r="AG499" s="32">
        <f>IF(AQ499="2",BI499,0)</f>
        <v>0</v>
      </c>
      <c r="AH499" s="32">
        <f>IF(AQ499="0",BJ499,0)</f>
        <v>0</v>
      </c>
      <c r="AI499" s="28"/>
      <c r="AJ499" s="15">
        <f>IF(AN499=0,K499,0)</f>
        <v>0</v>
      </c>
      <c r="AK499" s="15">
        <f>IF(AN499=15,K499,0)</f>
        <v>0</v>
      </c>
      <c r="AL499" s="15">
        <f>IF(AN499=21,K499,0)</f>
        <v>0</v>
      </c>
      <c r="AN499" s="32">
        <v>21</v>
      </c>
      <c r="AO499" s="32">
        <f>H499*0</f>
        <v>0</v>
      </c>
      <c r="AP499" s="32">
        <f>H499*(1-0)</f>
        <v>0</v>
      </c>
      <c r="AQ499" s="27" t="s">
        <v>11</v>
      </c>
      <c r="AV499" s="32">
        <f>AW499+AX499</f>
        <v>0</v>
      </c>
      <c r="AW499" s="32">
        <f>G499*AO499</f>
        <v>0</v>
      </c>
      <c r="AX499" s="32">
        <f>G499*AP499</f>
        <v>0</v>
      </c>
      <c r="AY499" s="33" t="s">
        <v>884</v>
      </c>
      <c r="AZ499" s="33" t="s">
        <v>894</v>
      </c>
      <c r="BA499" s="28" t="s">
        <v>895</v>
      </c>
      <c r="BC499" s="32">
        <f>AW499+AX499</f>
        <v>0</v>
      </c>
      <c r="BD499" s="32">
        <f>H499/(100-BE499)*100</f>
        <v>0</v>
      </c>
      <c r="BE499" s="32">
        <v>0</v>
      </c>
      <c r="BF499" s="32">
        <f>497</f>
        <v>497</v>
      </c>
      <c r="BH499" s="15">
        <f>G499*AO499</f>
        <v>0</v>
      </c>
      <c r="BI499" s="15">
        <f>G499*AP499</f>
        <v>0</v>
      </c>
      <c r="BJ499" s="15">
        <f>G499*H499</f>
        <v>0</v>
      </c>
    </row>
    <row r="500" spans="1:62" x14ac:dyDescent="0.2">
      <c r="C500" s="58" t="s">
        <v>796</v>
      </c>
      <c r="D500" s="59"/>
      <c r="E500" s="59"/>
      <c r="G500" s="16">
        <v>140.11623</v>
      </c>
    </row>
    <row r="501" spans="1:62" x14ac:dyDescent="0.2">
      <c r="A501" s="5"/>
      <c r="B501" s="13" t="s">
        <v>331</v>
      </c>
      <c r="C501" s="66" t="s">
        <v>797</v>
      </c>
      <c r="D501" s="67"/>
      <c r="E501" s="67"/>
      <c r="F501" s="5" t="s">
        <v>6</v>
      </c>
      <c r="G501" s="5" t="s">
        <v>6</v>
      </c>
      <c r="H501" s="5" t="s">
        <v>6</v>
      </c>
      <c r="I501" s="35">
        <f>SUM(I502:I502)</f>
        <v>0</v>
      </c>
      <c r="J501" s="35">
        <f>SUM(J502:J502)</f>
        <v>0</v>
      </c>
      <c r="K501" s="35">
        <f>SUM(K502:K502)</f>
        <v>0</v>
      </c>
      <c r="L501" s="28"/>
      <c r="AI501" s="28"/>
      <c r="AS501" s="35">
        <f>SUM(AJ502:AJ502)</f>
        <v>0</v>
      </c>
      <c r="AT501" s="35">
        <f>SUM(AK502:AK502)</f>
        <v>0</v>
      </c>
      <c r="AU501" s="35">
        <f>SUM(AL502:AL502)</f>
        <v>0</v>
      </c>
    </row>
    <row r="502" spans="1:62" x14ac:dyDescent="0.2">
      <c r="A502" s="4" t="s">
        <v>157</v>
      </c>
      <c r="B502" s="4" t="s">
        <v>332</v>
      </c>
      <c r="C502" s="56" t="s">
        <v>798</v>
      </c>
      <c r="D502" s="57"/>
      <c r="E502" s="57"/>
      <c r="F502" s="4" t="s">
        <v>823</v>
      </c>
      <c r="G502" s="15">
        <v>61.8</v>
      </c>
      <c r="H502" s="15">
        <v>0</v>
      </c>
      <c r="I502" s="15">
        <f>G502*AO502</f>
        <v>0</v>
      </c>
      <c r="J502" s="15">
        <f>G502*AP502</f>
        <v>0</v>
      </c>
      <c r="K502" s="15">
        <f>G502*H502</f>
        <v>0</v>
      </c>
      <c r="L502" s="27" t="s">
        <v>846</v>
      </c>
      <c r="Z502" s="32">
        <f>IF(AQ502="5",BJ502,0)</f>
        <v>0</v>
      </c>
      <c r="AB502" s="32">
        <f>IF(AQ502="1",BH502,0)</f>
        <v>0</v>
      </c>
      <c r="AC502" s="32">
        <f>IF(AQ502="1",BI502,0)</f>
        <v>0</v>
      </c>
      <c r="AD502" s="32">
        <f>IF(AQ502="7",BH502,0)</f>
        <v>0</v>
      </c>
      <c r="AE502" s="32">
        <f>IF(AQ502="7",BI502,0)</f>
        <v>0</v>
      </c>
      <c r="AF502" s="32">
        <f>IF(AQ502="2",BH502,0)</f>
        <v>0</v>
      </c>
      <c r="AG502" s="32">
        <f>IF(AQ502="2",BI502,0)</f>
        <v>0</v>
      </c>
      <c r="AH502" s="32">
        <f>IF(AQ502="0",BJ502,0)</f>
        <v>0</v>
      </c>
      <c r="AI502" s="28"/>
      <c r="AJ502" s="15">
        <f>IF(AN502=0,K502,0)</f>
        <v>0</v>
      </c>
      <c r="AK502" s="15">
        <f>IF(AN502=15,K502,0)</f>
        <v>0</v>
      </c>
      <c r="AL502" s="15">
        <f>IF(AN502=21,K502,0)</f>
        <v>0</v>
      </c>
      <c r="AN502" s="32">
        <v>21</v>
      </c>
      <c r="AO502" s="32">
        <f>H502*0.111111111111111</f>
        <v>0</v>
      </c>
      <c r="AP502" s="32">
        <f>H502*(1-0.111111111111111)</f>
        <v>0</v>
      </c>
      <c r="AQ502" s="27" t="s">
        <v>8</v>
      </c>
      <c r="AV502" s="32">
        <f>AW502+AX502</f>
        <v>0</v>
      </c>
      <c r="AW502" s="32">
        <f>G502*AO502</f>
        <v>0</v>
      </c>
      <c r="AX502" s="32">
        <f>G502*AP502</f>
        <v>0</v>
      </c>
      <c r="AY502" s="33" t="s">
        <v>885</v>
      </c>
      <c r="AZ502" s="33" t="s">
        <v>894</v>
      </c>
      <c r="BA502" s="28" t="s">
        <v>895</v>
      </c>
      <c r="BC502" s="32">
        <f>AW502+AX502</f>
        <v>0</v>
      </c>
      <c r="BD502" s="32">
        <f>H502/(100-BE502)*100</f>
        <v>0</v>
      </c>
      <c r="BE502" s="32">
        <v>0</v>
      </c>
      <c r="BF502" s="32">
        <f>500</f>
        <v>500</v>
      </c>
      <c r="BH502" s="15">
        <f>G502*AO502</f>
        <v>0</v>
      </c>
      <c r="BI502" s="15">
        <f>G502*AP502</f>
        <v>0</v>
      </c>
      <c r="BJ502" s="15">
        <f>G502*H502</f>
        <v>0</v>
      </c>
    </row>
    <row r="503" spans="1:62" x14ac:dyDescent="0.2">
      <c r="C503" s="58" t="s">
        <v>799</v>
      </c>
      <c r="D503" s="59"/>
      <c r="E503" s="59"/>
      <c r="G503" s="16">
        <v>61.8</v>
      </c>
    </row>
    <row r="504" spans="1:62" x14ac:dyDescent="0.2">
      <c r="A504" s="5"/>
      <c r="B504" s="13" t="s">
        <v>333</v>
      </c>
      <c r="C504" s="66" t="s">
        <v>800</v>
      </c>
      <c r="D504" s="67"/>
      <c r="E504" s="67"/>
      <c r="F504" s="5" t="s">
        <v>6</v>
      </c>
      <c r="G504" s="5" t="s">
        <v>6</v>
      </c>
      <c r="H504" s="5" t="s">
        <v>6</v>
      </c>
      <c r="I504" s="35">
        <f>SUM(I505:I523)</f>
        <v>0</v>
      </c>
      <c r="J504" s="35">
        <f>SUM(J505:J523)</f>
        <v>0</v>
      </c>
      <c r="K504" s="35">
        <f>SUM(K505:K523)</f>
        <v>0</v>
      </c>
      <c r="L504" s="28"/>
      <c r="AI504" s="28"/>
      <c r="AS504" s="35">
        <f>SUM(AJ505:AJ523)</f>
        <v>0</v>
      </c>
      <c r="AT504" s="35">
        <f>SUM(AK505:AK523)</f>
        <v>0</v>
      </c>
      <c r="AU504" s="35">
        <f>SUM(AL505:AL523)</f>
        <v>0</v>
      </c>
    </row>
    <row r="505" spans="1:62" x14ac:dyDescent="0.2">
      <c r="A505" s="4" t="s">
        <v>158</v>
      </c>
      <c r="B505" s="4" t="s">
        <v>334</v>
      </c>
      <c r="C505" s="56" t="s">
        <v>801</v>
      </c>
      <c r="D505" s="57"/>
      <c r="E505" s="57"/>
      <c r="F505" s="4" t="s">
        <v>828</v>
      </c>
      <c r="G505" s="15">
        <v>120.15598</v>
      </c>
      <c r="H505" s="15">
        <v>0</v>
      </c>
      <c r="I505" s="15">
        <f>G505*AO505</f>
        <v>0</v>
      </c>
      <c r="J505" s="15">
        <f>G505*AP505</f>
        <v>0</v>
      </c>
      <c r="K505" s="15">
        <f>G505*H505</f>
        <v>0</v>
      </c>
      <c r="L505" s="27" t="s">
        <v>846</v>
      </c>
      <c r="Z505" s="32">
        <f>IF(AQ505="5",BJ505,0)</f>
        <v>0</v>
      </c>
      <c r="AB505" s="32">
        <f>IF(AQ505="1",BH505,0)</f>
        <v>0</v>
      </c>
      <c r="AC505" s="32">
        <f>IF(AQ505="1",BI505,0)</f>
        <v>0</v>
      </c>
      <c r="AD505" s="32">
        <f>IF(AQ505="7",BH505,0)</f>
        <v>0</v>
      </c>
      <c r="AE505" s="32">
        <f>IF(AQ505="7",BI505,0)</f>
        <v>0</v>
      </c>
      <c r="AF505" s="32">
        <f>IF(AQ505="2",BH505,0)</f>
        <v>0</v>
      </c>
      <c r="AG505" s="32">
        <f>IF(AQ505="2",BI505,0)</f>
        <v>0</v>
      </c>
      <c r="AH505" s="32">
        <f>IF(AQ505="0",BJ505,0)</f>
        <v>0</v>
      </c>
      <c r="AI505" s="28"/>
      <c r="AJ505" s="15">
        <f>IF(AN505=0,K505,0)</f>
        <v>0</v>
      </c>
      <c r="AK505" s="15">
        <f>IF(AN505=15,K505,0)</f>
        <v>0</v>
      </c>
      <c r="AL505" s="15">
        <f>IF(AN505=21,K505,0)</f>
        <v>0</v>
      </c>
      <c r="AN505" s="32">
        <v>21</v>
      </c>
      <c r="AO505" s="32">
        <f>H505*0</f>
        <v>0</v>
      </c>
      <c r="AP505" s="32">
        <f>H505*(1-0)</f>
        <v>0</v>
      </c>
      <c r="AQ505" s="27" t="s">
        <v>11</v>
      </c>
      <c r="AV505" s="32">
        <f>AW505+AX505</f>
        <v>0</v>
      </c>
      <c r="AW505" s="32">
        <f>G505*AO505</f>
        <v>0</v>
      </c>
      <c r="AX505" s="32">
        <f>G505*AP505</f>
        <v>0</v>
      </c>
      <c r="AY505" s="33" t="s">
        <v>886</v>
      </c>
      <c r="AZ505" s="33" t="s">
        <v>894</v>
      </c>
      <c r="BA505" s="28" t="s">
        <v>895</v>
      </c>
      <c r="BC505" s="32">
        <f>AW505+AX505</f>
        <v>0</v>
      </c>
      <c r="BD505" s="32">
        <f>H505/(100-BE505)*100</f>
        <v>0</v>
      </c>
      <c r="BE505" s="32">
        <v>0</v>
      </c>
      <c r="BF505" s="32">
        <f>503</f>
        <v>503</v>
      </c>
      <c r="BH505" s="15">
        <f>G505*AO505</f>
        <v>0</v>
      </c>
      <c r="BI505" s="15">
        <f>G505*AP505</f>
        <v>0</v>
      </c>
      <c r="BJ505" s="15">
        <f>G505*H505</f>
        <v>0</v>
      </c>
    </row>
    <row r="506" spans="1:62" x14ac:dyDescent="0.2">
      <c r="C506" s="58" t="s">
        <v>802</v>
      </c>
      <c r="D506" s="59"/>
      <c r="E506" s="59"/>
      <c r="G506" s="16">
        <v>120.15598</v>
      </c>
    </row>
    <row r="507" spans="1:62" x14ac:dyDescent="0.2">
      <c r="A507" s="4" t="s">
        <v>159</v>
      </c>
      <c r="B507" s="4" t="s">
        <v>335</v>
      </c>
      <c r="C507" s="56" t="s">
        <v>803</v>
      </c>
      <c r="D507" s="57"/>
      <c r="E507" s="57"/>
      <c r="F507" s="4" t="s">
        <v>828</v>
      </c>
      <c r="G507" s="15">
        <v>120.15598</v>
      </c>
      <c r="H507" s="15">
        <v>0</v>
      </c>
      <c r="I507" s="15">
        <f>G507*AO507</f>
        <v>0</v>
      </c>
      <c r="J507" s="15">
        <f>G507*AP507</f>
        <v>0</v>
      </c>
      <c r="K507" s="15">
        <f>G507*H507</f>
        <v>0</v>
      </c>
      <c r="L507" s="27" t="s">
        <v>846</v>
      </c>
      <c r="Z507" s="32">
        <f>IF(AQ507="5",BJ507,0)</f>
        <v>0</v>
      </c>
      <c r="AB507" s="32">
        <f>IF(AQ507="1",BH507,0)</f>
        <v>0</v>
      </c>
      <c r="AC507" s="32">
        <f>IF(AQ507="1",BI507,0)</f>
        <v>0</v>
      </c>
      <c r="AD507" s="32">
        <f>IF(AQ507="7",BH507,0)</f>
        <v>0</v>
      </c>
      <c r="AE507" s="32">
        <f>IF(AQ507="7",BI507,0)</f>
        <v>0</v>
      </c>
      <c r="AF507" s="32">
        <f>IF(AQ507="2",BH507,0)</f>
        <v>0</v>
      </c>
      <c r="AG507" s="32">
        <f>IF(AQ507="2",BI507,0)</f>
        <v>0</v>
      </c>
      <c r="AH507" s="32">
        <f>IF(AQ507="0",BJ507,0)</f>
        <v>0</v>
      </c>
      <c r="AI507" s="28"/>
      <c r="AJ507" s="15">
        <f>IF(AN507=0,K507,0)</f>
        <v>0</v>
      </c>
      <c r="AK507" s="15">
        <f>IF(AN507=15,K507,0)</f>
        <v>0</v>
      </c>
      <c r="AL507" s="15">
        <f>IF(AN507=21,K507,0)</f>
        <v>0</v>
      </c>
      <c r="AN507" s="32">
        <v>21</v>
      </c>
      <c r="AO507" s="32">
        <f>H507*0</f>
        <v>0</v>
      </c>
      <c r="AP507" s="32">
        <f>H507*(1-0)</f>
        <v>0</v>
      </c>
      <c r="AQ507" s="27" t="s">
        <v>11</v>
      </c>
      <c r="AV507" s="32">
        <f>AW507+AX507</f>
        <v>0</v>
      </c>
      <c r="AW507" s="32">
        <f>G507*AO507</f>
        <v>0</v>
      </c>
      <c r="AX507" s="32">
        <f>G507*AP507</f>
        <v>0</v>
      </c>
      <c r="AY507" s="33" t="s">
        <v>886</v>
      </c>
      <c r="AZ507" s="33" t="s">
        <v>894</v>
      </c>
      <c r="BA507" s="28" t="s">
        <v>895</v>
      </c>
      <c r="BC507" s="32">
        <f>AW507+AX507</f>
        <v>0</v>
      </c>
      <c r="BD507" s="32">
        <f>H507/(100-BE507)*100</f>
        <v>0</v>
      </c>
      <c r="BE507" s="32">
        <v>0</v>
      </c>
      <c r="BF507" s="32">
        <f>505</f>
        <v>505</v>
      </c>
      <c r="BH507" s="15">
        <f>G507*AO507</f>
        <v>0</v>
      </c>
      <c r="BI507" s="15">
        <f>G507*AP507</f>
        <v>0</v>
      </c>
      <c r="BJ507" s="15">
        <f>G507*H507</f>
        <v>0</v>
      </c>
    </row>
    <row r="508" spans="1:62" x14ac:dyDescent="0.2">
      <c r="C508" s="58" t="s">
        <v>802</v>
      </c>
      <c r="D508" s="59"/>
      <c r="E508" s="59"/>
      <c r="G508" s="16">
        <v>120.15598</v>
      </c>
    </row>
    <row r="509" spans="1:62" x14ac:dyDescent="0.2">
      <c r="A509" s="4" t="s">
        <v>160</v>
      </c>
      <c r="B509" s="4" t="s">
        <v>336</v>
      </c>
      <c r="C509" s="56" t="s">
        <v>804</v>
      </c>
      <c r="D509" s="57"/>
      <c r="E509" s="57"/>
      <c r="F509" s="4" t="s">
        <v>828</v>
      </c>
      <c r="G509" s="15">
        <v>120.15598</v>
      </c>
      <c r="H509" s="15">
        <v>0</v>
      </c>
      <c r="I509" s="15">
        <f>G509*AO509</f>
        <v>0</v>
      </c>
      <c r="J509" s="15">
        <f>G509*AP509</f>
        <v>0</v>
      </c>
      <c r="K509" s="15">
        <f>G509*H509</f>
        <v>0</v>
      </c>
      <c r="L509" s="27" t="s">
        <v>846</v>
      </c>
      <c r="Z509" s="32">
        <f>IF(AQ509="5",BJ509,0)</f>
        <v>0</v>
      </c>
      <c r="AB509" s="32">
        <f>IF(AQ509="1",BH509,0)</f>
        <v>0</v>
      </c>
      <c r="AC509" s="32">
        <f>IF(AQ509="1",BI509,0)</f>
        <v>0</v>
      </c>
      <c r="AD509" s="32">
        <f>IF(AQ509="7",BH509,0)</f>
        <v>0</v>
      </c>
      <c r="AE509" s="32">
        <f>IF(AQ509="7",BI509,0)</f>
        <v>0</v>
      </c>
      <c r="AF509" s="32">
        <f>IF(AQ509="2",BH509,0)</f>
        <v>0</v>
      </c>
      <c r="AG509" s="32">
        <f>IF(AQ509="2",BI509,0)</f>
        <v>0</v>
      </c>
      <c r="AH509" s="32">
        <f>IF(AQ509="0",BJ509,0)</f>
        <v>0</v>
      </c>
      <c r="AI509" s="28"/>
      <c r="AJ509" s="15">
        <f>IF(AN509=0,K509,0)</f>
        <v>0</v>
      </c>
      <c r="AK509" s="15">
        <f>IF(AN509=15,K509,0)</f>
        <v>0</v>
      </c>
      <c r="AL509" s="15">
        <f>IF(AN509=21,K509,0)</f>
        <v>0</v>
      </c>
      <c r="AN509" s="32">
        <v>21</v>
      </c>
      <c r="AO509" s="32">
        <f>H509*0</f>
        <v>0</v>
      </c>
      <c r="AP509" s="32">
        <f>H509*(1-0)</f>
        <v>0</v>
      </c>
      <c r="AQ509" s="27" t="s">
        <v>11</v>
      </c>
      <c r="AV509" s="32">
        <f>AW509+AX509</f>
        <v>0</v>
      </c>
      <c r="AW509" s="32">
        <f>G509*AO509</f>
        <v>0</v>
      </c>
      <c r="AX509" s="32">
        <f>G509*AP509</f>
        <v>0</v>
      </c>
      <c r="AY509" s="33" t="s">
        <v>886</v>
      </c>
      <c r="AZ509" s="33" t="s">
        <v>894</v>
      </c>
      <c r="BA509" s="28" t="s">
        <v>895</v>
      </c>
      <c r="BC509" s="32">
        <f>AW509+AX509</f>
        <v>0</v>
      </c>
      <c r="BD509" s="32">
        <f>H509/(100-BE509)*100</f>
        <v>0</v>
      </c>
      <c r="BE509" s="32">
        <v>0</v>
      </c>
      <c r="BF509" s="32">
        <f>507</f>
        <v>507</v>
      </c>
      <c r="BH509" s="15">
        <f>G509*AO509</f>
        <v>0</v>
      </c>
      <c r="BI509" s="15">
        <f>G509*AP509</f>
        <v>0</v>
      </c>
      <c r="BJ509" s="15">
        <f>G509*H509</f>
        <v>0</v>
      </c>
    </row>
    <row r="510" spans="1:62" x14ac:dyDescent="0.2">
      <c r="C510" s="58" t="s">
        <v>802</v>
      </c>
      <c r="D510" s="59"/>
      <c r="E510" s="59"/>
      <c r="G510" s="16">
        <v>120.15598</v>
      </c>
    </row>
    <row r="511" spans="1:62" x14ac:dyDescent="0.2">
      <c r="A511" s="4" t="s">
        <v>161</v>
      </c>
      <c r="B511" s="4" t="s">
        <v>337</v>
      </c>
      <c r="C511" s="56" t="s">
        <v>805</v>
      </c>
      <c r="D511" s="57"/>
      <c r="E511" s="57"/>
      <c r="F511" s="4" t="s">
        <v>828</v>
      </c>
      <c r="G511" s="15">
        <v>120.15598</v>
      </c>
      <c r="H511" s="15">
        <v>0</v>
      </c>
      <c r="I511" s="15">
        <f>G511*AO511</f>
        <v>0</v>
      </c>
      <c r="J511" s="15">
        <f>G511*AP511</f>
        <v>0</v>
      </c>
      <c r="K511" s="15">
        <f>G511*H511</f>
        <v>0</v>
      </c>
      <c r="L511" s="27" t="s">
        <v>846</v>
      </c>
      <c r="Z511" s="32">
        <f>IF(AQ511="5",BJ511,0)</f>
        <v>0</v>
      </c>
      <c r="AB511" s="32">
        <f>IF(AQ511="1",BH511,0)</f>
        <v>0</v>
      </c>
      <c r="AC511" s="32">
        <f>IF(AQ511="1",BI511,0)</f>
        <v>0</v>
      </c>
      <c r="AD511" s="32">
        <f>IF(AQ511="7",BH511,0)</f>
        <v>0</v>
      </c>
      <c r="AE511" s="32">
        <f>IF(AQ511="7",BI511,0)</f>
        <v>0</v>
      </c>
      <c r="AF511" s="32">
        <f>IF(AQ511="2",BH511,0)</f>
        <v>0</v>
      </c>
      <c r="AG511" s="32">
        <f>IF(AQ511="2",BI511,0)</f>
        <v>0</v>
      </c>
      <c r="AH511" s="32">
        <f>IF(AQ511="0",BJ511,0)</f>
        <v>0</v>
      </c>
      <c r="AI511" s="28"/>
      <c r="AJ511" s="15">
        <f>IF(AN511=0,K511,0)</f>
        <v>0</v>
      </c>
      <c r="AK511" s="15">
        <f>IF(AN511=15,K511,0)</f>
        <v>0</v>
      </c>
      <c r="AL511" s="15">
        <f>IF(AN511=21,K511,0)</f>
        <v>0</v>
      </c>
      <c r="AN511" s="32">
        <v>21</v>
      </c>
      <c r="AO511" s="32">
        <f>H511*0</f>
        <v>0</v>
      </c>
      <c r="AP511" s="32">
        <f>H511*(1-0)</f>
        <v>0</v>
      </c>
      <c r="AQ511" s="27" t="s">
        <v>11</v>
      </c>
      <c r="AV511" s="32">
        <f>AW511+AX511</f>
        <v>0</v>
      </c>
      <c r="AW511" s="32">
        <f>G511*AO511</f>
        <v>0</v>
      </c>
      <c r="AX511" s="32">
        <f>G511*AP511</f>
        <v>0</v>
      </c>
      <c r="AY511" s="33" t="s">
        <v>886</v>
      </c>
      <c r="AZ511" s="33" t="s">
        <v>894</v>
      </c>
      <c r="BA511" s="28" t="s">
        <v>895</v>
      </c>
      <c r="BC511" s="32">
        <f>AW511+AX511</f>
        <v>0</v>
      </c>
      <c r="BD511" s="32">
        <f>H511/(100-BE511)*100</f>
        <v>0</v>
      </c>
      <c r="BE511" s="32">
        <v>0</v>
      </c>
      <c r="BF511" s="32">
        <f>509</f>
        <v>509</v>
      </c>
      <c r="BH511" s="15">
        <f>G511*AO511</f>
        <v>0</v>
      </c>
      <c r="BI511" s="15">
        <f>G511*AP511</f>
        <v>0</v>
      </c>
      <c r="BJ511" s="15">
        <f>G511*H511</f>
        <v>0</v>
      </c>
    </row>
    <row r="512" spans="1:62" x14ac:dyDescent="0.2">
      <c r="C512" s="58" t="s">
        <v>802</v>
      </c>
      <c r="D512" s="59"/>
      <c r="E512" s="59"/>
      <c r="G512" s="16">
        <v>120.15598</v>
      </c>
    </row>
    <row r="513" spans="1:62" x14ac:dyDescent="0.2">
      <c r="A513" s="4" t="s">
        <v>162</v>
      </c>
      <c r="B513" s="4" t="s">
        <v>338</v>
      </c>
      <c r="C513" s="56" t="s">
        <v>806</v>
      </c>
      <c r="D513" s="57"/>
      <c r="E513" s="57"/>
      <c r="F513" s="4" t="s">
        <v>828</v>
      </c>
      <c r="G513" s="15">
        <v>120.15598</v>
      </c>
      <c r="H513" s="15">
        <v>0</v>
      </c>
      <c r="I513" s="15">
        <f>G513*AO513</f>
        <v>0</v>
      </c>
      <c r="J513" s="15">
        <f>G513*AP513</f>
        <v>0</v>
      </c>
      <c r="K513" s="15">
        <f>G513*H513</f>
        <v>0</v>
      </c>
      <c r="L513" s="27" t="s">
        <v>846</v>
      </c>
      <c r="Z513" s="32">
        <f>IF(AQ513="5",BJ513,0)</f>
        <v>0</v>
      </c>
      <c r="AB513" s="32">
        <f>IF(AQ513="1",BH513,0)</f>
        <v>0</v>
      </c>
      <c r="AC513" s="32">
        <f>IF(AQ513="1",BI513,0)</f>
        <v>0</v>
      </c>
      <c r="AD513" s="32">
        <f>IF(AQ513="7",BH513,0)</f>
        <v>0</v>
      </c>
      <c r="AE513" s="32">
        <f>IF(AQ513="7",BI513,0)</f>
        <v>0</v>
      </c>
      <c r="AF513" s="32">
        <f>IF(AQ513="2",BH513,0)</f>
        <v>0</v>
      </c>
      <c r="AG513" s="32">
        <f>IF(AQ513="2",BI513,0)</f>
        <v>0</v>
      </c>
      <c r="AH513" s="32">
        <f>IF(AQ513="0",BJ513,0)</f>
        <v>0</v>
      </c>
      <c r="AI513" s="28"/>
      <c r="AJ513" s="15">
        <f>IF(AN513=0,K513,0)</f>
        <v>0</v>
      </c>
      <c r="AK513" s="15">
        <f>IF(AN513=15,K513,0)</f>
        <v>0</v>
      </c>
      <c r="AL513" s="15">
        <f>IF(AN513=21,K513,0)</f>
        <v>0</v>
      </c>
      <c r="AN513" s="32">
        <v>21</v>
      </c>
      <c r="AO513" s="32">
        <f>H513*0</f>
        <v>0</v>
      </c>
      <c r="AP513" s="32">
        <f>H513*(1-0)</f>
        <v>0</v>
      </c>
      <c r="AQ513" s="27" t="s">
        <v>11</v>
      </c>
      <c r="AV513" s="32">
        <f>AW513+AX513</f>
        <v>0</v>
      </c>
      <c r="AW513" s="32">
        <f>G513*AO513</f>
        <v>0</v>
      </c>
      <c r="AX513" s="32">
        <f>G513*AP513</f>
        <v>0</v>
      </c>
      <c r="AY513" s="33" t="s">
        <v>886</v>
      </c>
      <c r="AZ513" s="33" t="s">
        <v>894</v>
      </c>
      <c r="BA513" s="28" t="s">
        <v>895</v>
      </c>
      <c r="BC513" s="32">
        <f>AW513+AX513</f>
        <v>0</v>
      </c>
      <c r="BD513" s="32">
        <f>H513/(100-BE513)*100</f>
        <v>0</v>
      </c>
      <c r="BE513" s="32">
        <v>0</v>
      </c>
      <c r="BF513" s="32">
        <f>511</f>
        <v>511</v>
      </c>
      <c r="BH513" s="15">
        <f>G513*AO513</f>
        <v>0</v>
      </c>
      <c r="BI513" s="15">
        <f>G513*AP513</f>
        <v>0</v>
      </c>
      <c r="BJ513" s="15">
        <f>G513*H513</f>
        <v>0</v>
      </c>
    </row>
    <row r="514" spans="1:62" x14ac:dyDescent="0.2">
      <c r="C514" s="58" t="s">
        <v>802</v>
      </c>
      <c r="D514" s="59"/>
      <c r="E514" s="59"/>
      <c r="G514" s="16">
        <v>120.15598</v>
      </c>
    </row>
    <row r="515" spans="1:62" x14ac:dyDescent="0.2">
      <c r="A515" s="4" t="s">
        <v>163</v>
      </c>
      <c r="B515" s="4" t="s">
        <v>339</v>
      </c>
      <c r="C515" s="56" t="s">
        <v>807</v>
      </c>
      <c r="D515" s="57"/>
      <c r="E515" s="57"/>
      <c r="F515" s="4" t="s">
        <v>828</v>
      </c>
      <c r="G515" s="15">
        <v>2282.96362</v>
      </c>
      <c r="H515" s="15">
        <v>0</v>
      </c>
      <c r="I515" s="15">
        <f>G515*AO515</f>
        <v>0</v>
      </c>
      <c r="J515" s="15">
        <f>G515*AP515</f>
        <v>0</v>
      </c>
      <c r="K515" s="15">
        <f>G515*H515</f>
        <v>0</v>
      </c>
      <c r="L515" s="27" t="s">
        <v>846</v>
      </c>
      <c r="Z515" s="32">
        <f>IF(AQ515="5",BJ515,0)</f>
        <v>0</v>
      </c>
      <c r="AB515" s="32">
        <f>IF(AQ515="1",BH515,0)</f>
        <v>0</v>
      </c>
      <c r="AC515" s="32">
        <f>IF(AQ515="1",BI515,0)</f>
        <v>0</v>
      </c>
      <c r="AD515" s="32">
        <f>IF(AQ515="7",BH515,0)</f>
        <v>0</v>
      </c>
      <c r="AE515" s="32">
        <f>IF(AQ515="7",BI515,0)</f>
        <v>0</v>
      </c>
      <c r="AF515" s="32">
        <f>IF(AQ515="2",BH515,0)</f>
        <v>0</v>
      </c>
      <c r="AG515" s="32">
        <f>IF(AQ515="2",BI515,0)</f>
        <v>0</v>
      </c>
      <c r="AH515" s="32">
        <f>IF(AQ515="0",BJ515,0)</f>
        <v>0</v>
      </c>
      <c r="AI515" s="28"/>
      <c r="AJ515" s="15">
        <f>IF(AN515=0,K515,0)</f>
        <v>0</v>
      </c>
      <c r="AK515" s="15">
        <f>IF(AN515=15,K515,0)</f>
        <v>0</v>
      </c>
      <c r="AL515" s="15">
        <f>IF(AN515=21,K515,0)</f>
        <v>0</v>
      </c>
      <c r="AN515" s="32">
        <v>21</v>
      </c>
      <c r="AO515" s="32">
        <f>H515*0</f>
        <v>0</v>
      </c>
      <c r="AP515" s="32">
        <f>H515*(1-0)</f>
        <v>0</v>
      </c>
      <c r="AQ515" s="27" t="s">
        <v>11</v>
      </c>
      <c r="AV515" s="32">
        <f>AW515+AX515</f>
        <v>0</v>
      </c>
      <c r="AW515" s="32">
        <f>G515*AO515</f>
        <v>0</v>
      </c>
      <c r="AX515" s="32">
        <f>G515*AP515</f>
        <v>0</v>
      </c>
      <c r="AY515" s="33" t="s">
        <v>886</v>
      </c>
      <c r="AZ515" s="33" t="s">
        <v>894</v>
      </c>
      <c r="BA515" s="28" t="s">
        <v>895</v>
      </c>
      <c r="BC515" s="32">
        <f>AW515+AX515</f>
        <v>0</v>
      </c>
      <c r="BD515" s="32">
        <f>H515/(100-BE515)*100</f>
        <v>0</v>
      </c>
      <c r="BE515" s="32">
        <v>0</v>
      </c>
      <c r="BF515" s="32">
        <f>513</f>
        <v>513</v>
      </c>
      <c r="BH515" s="15">
        <f>G515*AO515</f>
        <v>0</v>
      </c>
      <c r="BI515" s="15">
        <f>G515*AP515</f>
        <v>0</v>
      </c>
      <c r="BJ515" s="15">
        <f>G515*H515</f>
        <v>0</v>
      </c>
    </row>
    <row r="516" spans="1:62" x14ac:dyDescent="0.2">
      <c r="C516" s="58" t="s">
        <v>808</v>
      </c>
      <c r="D516" s="59"/>
      <c r="E516" s="59"/>
      <c r="G516" s="16">
        <v>2282.96362</v>
      </c>
    </row>
    <row r="517" spans="1:62" x14ac:dyDescent="0.2">
      <c r="A517" s="4" t="s">
        <v>164</v>
      </c>
      <c r="B517" s="4" t="s">
        <v>340</v>
      </c>
      <c r="C517" s="56" t="s">
        <v>809</v>
      </c>
      <c r="D517" s="57"/>
      <c r="E517" s="57"/>
      <c r="F517" s="4" t="s">
        <v>828</v>
      </c>
      <c r="G517" s="15">
        <v>15.404999999999999</v>
      </c>
      <c r="H517" s="15">
        <v>0</v>
      </c>
      <c r="I517" s="15">
        <f>G517*AO517</f>
        <v>0</v>
      </c>
      <c r="J517" s="15">
        <f>G517*AP517</f>
        <v>0</v>
      </c>
      <c r="K517" s="15">
        <f>G517*H517</f>
        <v>0</v>
      </c>
      <c r="L517" s="27" t="s">
        <v>846</v>
      </c>
      <c r="Z517" s="32">
        <f>IF(AQ517="5",BJ517,0)</f>
        <v>0</v>
      </c>
      <c r="AB517" s="32">
        <f>IF(AQ517="1",BH517,0)</f>
        <v>0</v>
      </c>
      <c r="AC517" s="32">
        <f>IF(AQ517="1",BI517,0)</f>
        <v>0</v>
      </c>
      <c r="AD517" s="32">
        <f>IF(AQ517="7",BH517,0)</f>
        <v>0</v>
      </c>
      <c r="AE517" s="32">
        <f>IF(AQ517="7",BI517,0)</f>
        <v>0</v>
      </c>
      <c r="AF517" s="32">
        <f>IF(AQ517="2",BH517,0)</f>
        <v>0</v>
      </c>
      <c r="AG517" s="32">
        <f>IF(AQ517="2",BI517,0)</f>
        <v>0</v>
      </c>
      <c r="AH517" s="32">
        <f>IF(AQ517="0",BJ517,0)</f>
        <v>0</v>
      </c>
      <c r="AI517" s="28"/>
      <c r="AJ517" s="15">
        <f>IF(AN517=0,K517,0)</f>
        <v>0</v>
      </c>
      <c r="AK517" s="15">
        <f>IF(AN517=15,K517,0)</f>
        <v>0</v>
      </c>
      <c r="AL517" s="15">
        <f>IF(AN517=21,K517,0)</f>
        <v>0</v>
      </c>
      <c r="AN517" s="32">
        <v>21</v>
      </c>
      <c r="AO517" s="32">
        <f>H517*0</f>
        <v>0</v>
      </c>
      <c r="AP517" s="32">
        <f>H517*(1-0)</f>
        <v>0</v>
      </c>
      <c r="AQ517" s="27" t="s">
        <v>11</v>
      </c>
      <c r="AV517" s="32">
        <f>AW517+AX517</f>
        <v>0</v>
      </c>
      <c r="AW517" s="32">
        <f>G517*AO517</f>
        <v>0</v>
      </c>
      <c r="AX517" s="32">
        <f>G517*AP517</f>
        <v>0</v>
      </c>
      <c r="AY517" s="33" t="s">
        <v>886</v>
      </c>
      <c r="AZ517" s="33" t="s">
        <v>894</v>
      </c>
      <c r="BA517" s="28" t="s">
        <v>895</v>
      </c>
      <c r="BC517" s="32">
        <f>AW517+AX517</f>
        <v>0</v>
      </c>
      <c r="BD517" s="32">
        <f>H517/(100-BE517)*100</f>
        <v>0</v>
      </c>
      <c r="BE517" s="32">
        <v>0</v>
      </c>
      <c r="BF517" s="32">
        <f>515</f>
        <v>515</v>
      </c>
      <c r="BH517" s="15">
        <f>G517*AO517</f>
        <v>0</v>
      </c>
      <c r="BI517" s="15">
        <f>G517*AP517</f>
        <v>0</v>
      </c>
      <c r="BJ517" s="15">
        <f>G517*H517</f>
        <v>0</v>
      </c>
    </row>
    <row r="518" spans="1:62" x14ac:dyDescent="0.2">
      <c r="C518" s="58" t="s">
        <v>810</v>
      </c>
      <c r="D518" s="59"/>
      <c r="E518" s="59"/>
      <c r="G518" s="16">
        <v>15.404999999999999</v>
      </c>
    </row>
    <row r="519" spans="1:62" x14ac:dyDescent="0.2">
      <c r="A519" s="4" t="s">
        <v>165</v>
      </c>
      <c r="B519" s="4" t="s">
        <v>341</v>
      </c>
      <c r="C519" s="56" t="s">
        <v>811</v>
      </c>
      <c r="D519" s="57"/>
      <c r="E519" s="57"/>
      <c r="F519" s="4" t="s">
        <v>828</v>
      </c>
      <c r="G519" s="15">
        <v>12.488</v>
      </c>
      <c r="H519" s="15">
        <v>0</v>
      </c>
      <c r="I519" s="15">
        <f>G519*AO519</f>
        <v>0</v>
      </c>
      <c r="J519" s="15">
        <f>G519*AP519</f>
        <v>0</v>
      </c>
      <c r="K519" s="15">
        <f>G519*H519</f>
        <v>0</v>
      </c>
      <c r="L519" s="27" t="s">
        <v>846</v>
      </c>
      <c r="Z519" s="32">
        <f>IF(AQ519="5",BJ519,0)</f>
        <v>0</v>
      </c>
      <c r="AB519" s="32">
        <f>IF(AQ519="1",BH519,0)</f>
        <v>0</v>
      </c>
      <c r="AC519" s="32">
        <f>IF(AQ519="1",BI519,0)</f>
        <v>0</v>
      </c>
      <c r="AD519" s="32">
        <f>IF(AQ519="7",BH519,0)</f>
        <v>0</v>
      </c>
      <c r="AE519" s="32">
        <f>IF(AQ519="7",BI519,0)</f>
        <v>0</v>
      </c>
      <c r="AF519" s="32">
        <f>IF(AQ519="2",BH519,0)</f>
        <v>0</v>
      </c>
      <c r="AG519" s="32">
        <f>IF(AQ519="2",BI519,0)</f>
        <v>0</v>
      </c>
      <c r="AH519" s="32">
        <f>IF(AQ519="0",BJ519,0)</f>
        <v>0</v>
      </c>
      <c r="AI519" s="28"/>
      <c r="AJ519" s="15">
        <f>IF(AN519=0,K519,0)</f>
        <v>0</v>
      </c>
      <c r="AK519" s="15">
        <f>IF(AN519=15,K519,0)</f>
        <v>0</v>
      </c>
      <c r="AL519" s="15">
        <f>IF(AN519=21,K519,0)</f>
        <v>0</v>
      </c>
      <c r="AN519" s="32">
        <v>21</v>
      </c>
      <c r="AO519" s="32">
        <f>H519*0</f>
        <v>0</v>
      </c>
      <c r="AP519" s="32">
        <f>H519*(1-0)</f>
        <v>0</v>
      </c>
      <c r="AQ519" s="27" t="s">
        <v>11</v>
      </c>
      <c r="AV519" s="32">
        <f>AW519+AX519</f>
        <v>0</v>
      </c>
      <c r="AW519" s="32">
        <f>G519*AO519</f>
        <v>0</v>
      </c>
      <c r="AX519" s="32">
        <f>G519*AP519</f>
        <v>0</v>
      </c>
      <c r="AY519" s="33" t="s">
        <v>886</v>
      </c>
      <c r="AZ519" s="33" t="s">
        <v>894</v>
      </c>
      <c r="BA519" s="28" t="s">
        <v>895</v>
      </c>
      <c r="BC519" s="32">
        <f>AW519+AX519</f>
        <v>0</v>
      </c>
      <c r="BD519" s="32">
        <f>H519/(100-BE519)*100</f>
        <v>0</v>
      </c>
      <c r="BE519" s="32">
        <v>0</v>
      </c>
      <c r="BF519" s="32">
        <f>517</f>
        <v>517</v>
      </c>
      <c r="BH519" s="15">
        <f>G519*AO519</f>
        <v>0</v>
      </c>
      <c r="BI519" s="15">
        <f>G519*AP519</f>
        <v>0</v>
      </c>
      <c r="BJ519" s="15">
        <f>G519*H519</f>
        <v>0</v>
      </c>
    </row>
    <row r="520" spans="1:62" x14ac:dyDescent="0.2">
      <c r="C520" s="58" t="s">
        <v>812</v>
      </c>
      <c r="D520" s="59"/>
      <c r="E520" s="59"/>
      <c r="G520" s="16">
        <v>12.488</v>
      </c>
    </row>
    <row r="521" spans="1:62" x14ac:dyDescent="0.2">
      <c r="A521" s="4" t="s">
        <v>166</v>
      </c>
      <c r="B521" s="4" t="s">
        <v>342</v>
      </c>
      <c r="C521" s="56" t="s">
        <v>813</v>
      </c>
      <c r="D521" s="57"/>
      <c r="E521" s="57"/>
      <c r="F521" s="4" t="s">
        <v>828</v>
      </c>
      <c r="G521" s="15">
        <v>26.76</v>
      </c>
      <c r="H521" s="15">
        <v>0</v>
      </c>
      <c r="I521" s="15">
        <f>G521*AO521</f>
        <v>0</v>
      </c>
      <c r="J521" s="15">
        <f>G521*AP521</f>
        <v>0</v>
      </c>
      <c r="K521" s="15">
        <f>G521*H521</f>
        <v>0</v>
      </c>
      <c r="L521" s="27" t="s">
        <v>847</v>
      </c>
      <c r="Z521" s="32">
        <f>IF(AQ521="5",BJ521,0)</f>
        <v>0</v>
      </c>
      <c r="AB521" s="32">
        <f>IF(AQ521="1",BH521,0)</f>
        <v>0</v>
      </c>
      <c r="AC521" s="32">
        <f>IF(AQ521="1",BI521,0)</f>
        <v>0</v>
      </c>
      <c r="AD521" s="32">
        <f>IF(AQ521="7",BH521,0)</f>
        <v>0</v>
      </c>
      <c r="AE521" s="32">
        <f>IF(AQ521="7",BI521,0)</f>
        <v>0</v>
      </c>
      <c r="AF521" s="32">
        <f>IF(AQ521="2",BH521,0)</f>
        <v>0</v>
      </c>
      <c r="AG521" s="32">
        <f>IF(AQ521="2",BI521,0)</f>
        <v>0</v>
      </c>
      <c r="AH521" s="32">
        <f>IF(AQ521="0",BJ521,0)</f>
        <v>0</v>
      </c>
      <c r="AI521" s="28"/>
      <c r="AJ521" s="15">
        <f>IF(AN521=0,K521,0)</f>
        <v>0</v>
      </c>
      <c r="AK521" s="15">
        <f>IF(AN521=15,K521,0)</f>
        <v>0</v>
      </c>
      <c r="AL521" s="15">
        <f>IF(AN521=21,K521,0)</f>
        <v>0</v>
      </c>
      <c r="AN521" s="32">
        <v>21</v>
      </c>
      <c r="AO521" s="32">
        <f>H521*0</f>
        <v>0</v>
      </c>
      <c r="AP521" s="32">
        <f>H521*(1-0)</f>
        <v>0</v>
      </c>
      <c r="AQ521" s="27" t="s">
        <v>11</v>
      </c>
      <c r="AV521" s="32">
        <f>AW521+AX521</f>
        <v>0</v>
      </c>
      <c r="AW521" s="32">
        <f>G521*AO521</f>
        <v>0</v>
      </c>
      <c r="AX521" s="32">
        <f>G521*AP521</f>
        <v>0</v>
      </c>
      <c r="AY521" s="33" t="s">
        <v>886</v>
      </c>
      <c r="AZ521" s="33" t="s">
        <v>894</v>
      </c>
      <c r="BA521" s="28" t="s">
        <v>895</v>
      </c>
      <c r="BC521" s="32">
        <f>AW521+AX521</f>
        <v>0</v>
      </c>
      <c r="BD521" s="32">
        <f>H521/(100-BE521)*100</f>
        <v>0</v>
      </c>
      <c r="BE521" s="32">
        <v>0</v>
      </c>
      <c r="BF521" s="32">
        <f>519</f>
        <v>519</v>
      </c>
      <c r="BH521" s="15">
        <f>G521*AO521</f>
        <v>0</v>
      </c>
      <c r="BI521" s="15">
        <f>G521*AP521</f>
        <v>0</v>
      </c>
      <c r="BJ521" s="15">
        <f>G521*H521</f>
        <v>0</v>
      </c>
    </row>
    <row r="522" spans="1:62" x14ac:dyDescent="0.2">
      <c r="C522" s="58" t="s">
        <v>814</v>
      </c>
      <c r="D522" s="59"/>
      <c r="E522" s="59"/>
      <c r="G522" s="16">
        <v>26.76</v>
      </c>
    </row>
    <row r="523" spans="1:62" x14ac:dyDescent="0.2">
      <c r="A523" s="4" t="s">
        <v>167</v>
      </c>
      <c r="B523" s="4" t="s">
        <v>343</v>
      </c>
      <c r="C523" s="56" t="s">
        <v>815</v>
      </c>
      <c r="D523" s="57"/>
      <c r="E523" s="57"/>
      <c r="F523" s="4" t="s">
        <v>828</v>
      </c>
      <c r="G523" s="15">
        <v>65.502979999999994</v>
      </c>
      <c r="H523" s="15">
        <v>0</v>
      </c>
      <c r="I523" s="15">
        <f>G523*AO523</f>
        <v>0</v>
      </c>
      <c r="J523" s="15">
        <f>G523*AP523</f>
        <v>0</v>
      </c>
      <c r="K523" s="15">
        <f>G523*H523</f>
        <v>0</v>
      </c>
      <c r="L523" s="27" t="s">
        <v>846</v>
      </c>
      <c r="Z523" s="32">
        <f>IF(AQ523="5",BJ523,0)</f>
        <v>0</v>
      </c>
      <c r="AB523" s="32">
        <f>IF(AQ523="1",BH523,0)</f>
        <v>0</v>
      </c>
      <c r="AC523" s="32">
        <f>IF(AQ523="1",BI523,0)</f>
        <v>0</v>
      </c>
      <c r="AD523" s="32">
        <f>IF(AQ523="7",BH523,0)</f>
        <v>0</v>
      </c>
      <c r="AE523" s="32">
        <f>IF(AQ523="7",BI523,0)</f>
        <v>0</v>
      </c>
      <c r="AF523" s="32">
        <f>IF(AQ523="2",BH523,0)</f>
        <v>0</v>
      </c>
      <c r="AG523" s="32">
        <f>IF(AQ523="2",BI523,0)</f>
        <v>0</v>
      </c>
      <c r="AH523" s="32">
        <f>IF(AQ523="0",BJ523,0)</f>
        <v>0</v>
      </c>
      <c r="AI523" s="28"/>
      <c r="AJ523" s="15">
        <f>IF(AN523=0,K523,0)</f>
        <v>0</v>
      </c>
      <c r="AK523" s="15">
        <f>IF(AN523=15,K523,0)</f>
        <v>0</v>
      </c>
      <c r="AL523" s="15">
        <f>IF(AN523=21,K523,0)</f>
        <v>0</v>
      </c>
      <c r="AN523" s="32">
        <v>21</v>
      </c>
      <c r="AO523" s="32">
        <f>H523*0</f>
        <v>0</v>
      </c>
      <c r="AP523" s="32">
        <f>H523*(1-0)</f>
        <v>0</v>
      </c>
      <c r="AQ523" s="27" t="s">
        <v>11</v>
      </c>
      <c r="AV523" s="32">
        <f>AW523+AX523</f>
        <v>0</v>
      </c>
      <c r="AW523" s="32">
        <f>G523*AO523</f>
        <v>0</v>
      </c>
      <c r="AX523" s="32">
        <f>G523*AP523</f>
        <v>0</v>
      </c>
      <c r="AY523" s="33" t="s">
        <v>886</v>
      </c>
      <c r="AZ523" s="33" t="s">
        <v>894</v>
      </c>
      <c r="BA523" s="28" t="s">
        <v>895</v>
      </c>
      <c r="BC523" s="32">
        <f>AW523+AX523</f>
        <v>0</v>
      </c>
      <c r="BD523" s="32">
        <f>H523/(100-BE523)*100</f>
        <v>0</v>
      </c>
      <c r="BE523" s="32">
        <v>0</v>
      </c>
      <c r="BF523" s="32">
        <f>521</f>
        <v>521</v>
      </c>
      <c r="BH523" s="15">
        <f>G523*AO523</f>
        <v>0</v>
      </c>
      <c r="BI523" s="15">
        <f>G523*AP523</f>
        <v>0</v>
      </c>
      <c r="BJ523" s="15">
        <f>G523*H523</f>
        <v>0</v>
      </c>
    </row>
    <row r="524" spans="1:62" x14ac:dyDescent="0.2">
      <c r="A524" s="7"/>
      <c r="B524" s="7"/>
      <c r="C524" s="60" t="s">
        <v>816</v>
      </c>
      <c r="D524" s="61"/>
      <c r="E524" s="61"/>
      <c r="F524" s="7"/>
      <c r="G524" s="18">
        <v>65.502979999999994</v>
      </c>
      <c r="H524" s="7"/>
      <c r="I524" s="7"/>
      <c r="J524" s="7"/>
      <c r="K524" s="7"/>
      <c r="L524" s="7"/>
    </row>
    <row r="525" spans="1:62" x14ac:dyDescent="0.2">
      <c r="A525" s="8"/>
      <c r="B525" s="8"/>
      <c r="C525" s="8"/>
      <c r="D525" s="8"/>
      <c r="E525" s="8"/>
      <c r="F525" s="8"/>
      <c r="G525" s="8"/>
      <c r="H525" s="8"/>
      <c r="I525" s="62" t="s">
        <v>841</v>
      </c>
      <c r="J525" s="63"/>
      <c r="K525" s="36">
        <f>K12+K15+K18+K24+K32+K35+K37+K40+K54+K57+K62+K133+K137+K172+K188+K191+K204+K214+K221+K275+K278+K324+K329+K355+K361+K392+K411+K465+K498+K501+K504</f>
        <v>0</v>
      </c>
      <c r="L525" s="8"/>
    </row>
    <row r="526" spans="1:62" ht="11.25" customHeight="1" x14ac:dyDescent="0.2">
      <c r="A526" s="9" t="s">
        <v>168</v>
      </c>
    </row>
    <row r="527" spans="1:62" x14ac:dyDescent="0.2">
      <c r="A527" s="64"/>
      <c r="B527" s="65"/>
      <c r="C527" s="65"/>
      <c r="D527" s="65"/>
      <c r="E527" s="65"/>
      <c r="F527" s="65"/>
      <c r="G527" s="65"/>
      <c r="H527" s="65"/>
      <c r="I527" s="65"/>
      <c r="J527" s="65"/>
      <c r="K527" s="65"/>
      <c r="L527" s="65"/>
    </row>
  </sheetData>
  <mergeCells count="543">
    <mergeCell ref="A4:B5"/>
    <mergeCell ref="C4:C5"/>
    <mergeCell ref="D4:E5"/>
    <mergeCell ref="F4:G5"/>
    <mergeCell ref="H4:H5"/>
    <mergeCell ref="I4:L5"/>
    <mergeCell ref="A1:L1"/>
    <mergeCell ref="A2:B3"/>
    <mergeCell ref="C2:C3"/>
    <mergeCell ref="D2:E3"/>
    <mergeCell ref="F2:G3"/>
    <mergeCell ref="H2:H3"/>
    <mergeCell ref="I2:L3"/>
    <mergeCell ref="A8:B9"/>
    <mergeCell ref="C8:C9"/>
    <mergeCell ref="D8:E9"/>
    <mergeCell ref="F8:G9"/>
    <mergeCell ref="H8:H9"/>
    <mergeCell ref="I8:L9"/>
    <mergeCell ref="A6:B7"/>
    <mergeCell ref="C6:C7"/>
    <mergeCell ref="D6:E7"/>
    <mergeCell ref="F6:G7"/>
    <mergeCell ref="H6:H7"/>
    <mergeCell ref="I6:L7"/>
    <mergeCell ref="C15:E15"/>
    <mergeCell ref="C16:E16"/>
    <mergeCell ref="C17:E17"/>
    <mergeCell ref="C18:E18"/>
    <mergeCell ref="C19:E19"/>
    <mergeCell ref="C20:E20"/>
    <mergeCell ref="C10:E10"/>
    <mergeCell ref="I10:K10"/>
    <mergeCell ref="C11:E11"/>
    <mergeCell ref="C12:E12"/>
    <mergeCell ref="C13:E13"/>
    <mergeCell ref="C14:E14"/>
    <mergeCell ref="C27:E27"/>
    <mergeCell ref="C28:E28"/>
    <mergeCell ref="C29:E29"/>
    <mergeCell ref="C30:E30"/>
    <mergeCell ref="C31:E31"/>
    <mergeCell ref="C32:E32"/>
    <mergeCell ref="C21:E21"/>
    <mergeCell ref="C22:E22"/>
    <mergeCell ref="C23:E23"/>
    <mergeCell ref="C24:E24"/>
    <mergeCell ref="C25:E25"/>
    <mergeCell ref="C26:E26"/>
    <mergeCell ref="C41:E41"/>
    <mergeCell ref="C42:E42"/>
    <mergeCell ref="C43:E43"/>
    <mergeCell ref="C44:E44"/>
    <mergeCell ref="C45:E45"/>
    <mergeCell ref="C46:E46"/>
    <mergeCell ref="C33:E33"/>
    <mergeCell ref="C34:E34"/>
    <mergeCell ref="C37:E37"/>
    <mergeCell ref="C38:E38"/>
    <mergeCell ref="C39:E39"/>
    <mergeCell ref="C40:E40"/>
    <mergeCell ref="C35:E35"/>
    <mergeCell ref="C36:E36"/>
    <mergeCell ref="C53:E53"/>
    <mergeCell ref="C54:E54"/>
    <mergeCell ref="C55:E55"/>
    <mergeCell ref="C56:E56"/>
    <mergeCell ref="C57:E57"/>
    <mergeCell ref="C58:E58"/>
    <mergeCell ref="C47:E47"/>
    <mergeCell ref="C48:E48"/>
    <mergeCell ref="C49:E49"/>
    <mergeCell ref="C50:E50"/>
    <mergeCell ref="C51:E51"/>
    <mergeCell ref="C52:E52"/>
    <mergeCell ref="C65:E65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64:E64"/>
    <mergeCell ref="C77:E77"/>
    <mergeCell ref="C78:E78"/>
    <mergeCell ref="C79:E79"/>
    <mergeCell ref="C80:E80"/>
    <mergeCell ref="C81:E81"/>
    <mergeCell ref="C82:E82"/>
    <mergeCell ref="C71:E71"/>
    <mergeCell ref="C72:E72"/>
    <mergeCell ref="C73:E73"/>
    <mergeCell ref="C74:E74"/>
    <mergeCell ref="C75:E75"/>
    <mergeCell ref="C76:E76"/>
    <mergeCell ref="C89:E89"/>
    <mergeCell ref="C90:E90"/>
    <mergeCell ref="C91:E91"/>
    <mergeCell ref="C92:E92"/>
    <mergeCell ref="C93:E93"/>
    <mergeCell ref="C94:E94"/>
    <mergeCell ref="C83:E83"/>
    <mergeCell ref="C84:E84"/>
    <mergeCell ref="C85:E85"/>
    <mergeCell ref="C86:E86"/>
    <mergeCell ref="C87:E87"/>
    <mergeCell ref="C88:E88"/>
    <mergeCell ref="C101:E101"/>
    <mergeCell ref="C102:E102"/>
    <mergeCell ref="C103:E103"/>
    <mergeCell ref="C104:E104"/>
    <mergeCell ref="C105:E105"/>
    <mergeCell ref="C106:E106"/>
    <mergeCell ref="C95:E95"/>
    <mergeCell ref="C96:E96"/>
    <mergeCell ref="C97:E97"/>
    <mergeCell ref="C98:E98"/>
    <mergeCell ref="C99:E99"/>
    <mergeCell ref="C100:E100"/>
    <mergeCell ref="C113:E113"/>
    <mergeCell ref="C114:E114"/>
    <mergeCell ref="C115:E115"/>
    <mergeCell ref="C116:E116"/>
    <mergeCell ref="C117:E117"/>
    <mergeCell ref="C118:E118"/>
    <mergeCell ref="C107:E107"/>
    <mergeCell ref="C108:E108"/>
    <mergeCell ref="C109:E109"/>
    <mergeCell ref="C110:E110"/>
    <mergeCell ref="C111:E111"/>
    <mergeCell ref="C112:E112"/>
    <mergeCell ref="C125:E125"/>
    <mergeCell ref="C126:E126"/>
    <mergeCell ref="C127:E127"/>
    <mergeCell ref="C128:E128"/>
    <mergeCell ref="C129:E129"/>
    <mergeCell ref="C130:E130"/>
    <mergeCell ref="C119:E119"/>
    <mergeCell ref="C120:E120"/>
    <mergeCell ref="C121:E121"/>
    <mergeCell ref="C122:E122"/>
    <mergeCell ref="C123:E123"/>
    <mergeCell ref="C124:E124"/>
    <mergeCell ref="C137:E137"/>
    <mergeCell ref="C138:E138"/>
    <mergeCell ref="C139:E139"/>
    <mergeCell ref="C140:E140"/>
    <mergeCell ref="C141:E141"/>
    <mergeCell ref="C142:E142"/>
    <mergeCell ref="C131:E131"/>
    <mergeCell ref="C132:E132"/>
    <mergeCell ref="C133:E133"/>
    <mergeCell ref="C134:E134"/>
    <mergeCell ref="C135:E135"/>
    <mergeCell ref="C136:E136"/>
    <mergeCell ref="C149:E149"/>
    <mergeCell ref="C150:E150"/>
    <mergeCell ref="C151:E151"/>
    <mergeCell ref="C152:E152"/>
    <mergeCell ref="C153:E153"/>
    <mergeCell ref="C154:E154"/>
    <mergeCell ref="C143:E143"/>
    <mergeCell ref="C144:E144"/>
    <mergeCell ref="C145:E145"/>
    <mergeCell ref="C146:E146"/>
    <mergeCell ref="C147:E147"/>
    <mergeCell ref="C148:E148"/>
    <mergeCell ref="C161:E161"/>
    <mergeCell ref="C162:E162"/>
    <mergeCell ref="C163:E163"/>
    <mergeCell ref="C164:E164"/>
    <mergeCell ref="C165:E165"/>
    <mergeCell ref="C166:E166"/>
    <mergeCell ref="C155:E155"/>
    <mergeCell ref="C156:E156"/>
    <mergeCell ref="C157:E157"/>
    <mergeCell ref="C158:E158"/>
    <mergeCell ref="C159:E159"/>
    <mergeCell ref="C160:E160"/>
    <mergeCell ref="C173:E173"/>
    <mergeCell ref="C174:E174"/>
    <mergeCell ref="C175:E175"/>
    <mergeCell ref="C176:E176"/>
    <mergeCell ref="C177:E177"/>
    <mergeCell ref="C178:E178"/>
    <mergeCell ref="C167:E167"/>
    <mergeCell ref="C168:E168"/>
    <mergeCell ref="C169:E169"/>
    <mergeCell ref="C170:E170"/>
    <mergeCell ref="C171:E171"/>
    <mergeCell ref="C172:E172"/>
    <mergeCell ref="C185:E185"/>
    <mergeCell ref="C186:E186"/>
    <mergeCell ref="C187:E187"/>
    <mergeCell ref="C188:E188"/>
    <mergeCell ref="C189:E189"/>
    <mergeCell ref="C190:E190"/>
    <mergeCell ref="C179:E179"/>
    <mergeCell ref="C180:E180"/>
    <mergeCell ref="C181:E181"/>
    <mergeCell ref="C182:E182"/>
    <mergeCell ref="C183:E183"/>
    <mergeCell ref="C184:E184"/>
    <mergeCell ref="C197:E197"/>
    <mergeCell ref="C198:E198"/>
    <mergeCell ref="C199:E199"/>
    <mergeCell ref="C200:E200"/>
    <mergeCell ref="C201:E201"/>
    <mergeCell ref="C202:E202"/>
    <mergeCell ref="C191:E191"/>
    <mergeCell ref="C192:E192"/>
    <mergeCell ref="C193:E193"/>
    <mergeCell ref="C194:E194"/>
    <mergeCell ref="C195:E195"/>
    <mergeCell ref="C196:E196"/>
    <mergeCell ref="C209:E209"/>
    <mergeCell ref="C210:E210"/>
    <mergeCell ref="C211:E211"/>
    <mergeCell ref="C212:E212"/>
    <mergeCell ref="C213:E213"/>
    <mergeCell ref="C214:E214"/>
    <mergeCell ref="C203:E203"/>
    <mergeCell ref="C204:E204"/>
    <mergeCell ref="C205:E205"/>
    <mergeCell ref="C206:E206"/>
    <mergeCell ref="C207:E207"/>
    <mergeCell ref="C208:E208"/>
    <mergeCell ref="C221:E221"/>
    <mergeCell ref="C222:E222"/>
    <mergeCell ref="C223:E223"/>
    <mergeCell ref="C224:E224"/>
    <mergeCell ref="C225:E225"/>
    <mergeCell ref="C226:E226"/>
    <mergeCell ref="C215:E215"/>
    <mergeCell ref="C216:E216"/>
    <mergeCell ref="C217:E217"/>
    <mergeCell ref="C218:E218"/>
    <mergeCell ref="C219:E219"/>
    <mergeCell ref="C220:E220"/>
    <mergeCell ref="C233:E233"/>
    <mergeCell ref="C234:E234"/>
    <mergeCell ref="C235:E235"/>
    <mergeCell ref="C236:E236"/>
    <mergeCell ref="C237:E237"/>
    <mergeCell ref="C238:E238"/>
    <mergeCell ref="C227:E227"/>
    <mergeCell ref="C228:E228"/>
    <mergeCell ref="C229:E229"/>
    <mergeCell ref="C230:E230"/>
    <mergeCell ref="C231:E231"/>
    <mergeCell ref="C232:E232"/>
    <mergeCell ref="C245:E245"/>
    <mergeCell ref="C246:E246"/>
    <mergeCell ref="C247:E247"/>
    <mergeCell ref="C248:E248"/>
    <mergeCell ref="C249:E249"/>
    <mergeCell ref="C250:E250"/>
    <mergeCell ref="C239:E239"/>
    <mergeCell ref="C240:E240"/>
    <mergeCell ref="C241:E241"/>
    <mergeCell ref="C242:E242"/>
    <mergeCell ref="C243:E243"/>
    <mergeCell ref="C244:E244"/>
    <mergeCell ref="C257:E257"/>
    <mergeCell ref="C258:E258"/>
    <mergeCell ref="C259:E259"/>
    <mergeCell ref="C260:E260"/>
    <mergeCell ref="C261:E261"/>
    <mergeCell ref="C262:E262"/>
    <mergeCell ref="C251:E251"/>
    <mergeCell ref="C252:E252"/>
    <mergeCell ref="C253:E253"/>
    <mergeCell ref="C254:E254"/>
    <mergeCell ref="C255:E255"/>
    <mergeCell ref="C256:E256"/>
    <mergeCell ref="C269:E269"/>
    <mergeCell ref="C270:E270"/>
    <mergeCell ref="C271:E271"/>
    <mergeCell ref="C272:E272"/>
    <mergeCell ref="C273:E273"/>
    <mergeCell ref="C274:E274"/>
    <mergeCell ref="C263:E263"/>
    <mergeCell ref="C264:E264"/>
    <mergeCell ref="C265:E265"/>
    <mergeCell ref="C266:E266"/>
    <mergeCell ref="C267:E267"/>
    <mergeCell ref="C268:E268"/>
    <mergeCell ref="C281:E281"/>
    <mergeCell ref="C282:E282"/>
    <mergeCell ref="C283:E283"/>
    <mergeCell ref="C284:E284"/>
    <mergeCell ref="C285:E285"/>
    <mergeCell ref="C286:E286"/>
    <mergeCell ref="C275:E275"/>
    <mergeCell ref="C276:E276"/>
    <mergeCell ref="C277:E277"/>
    <mergeCell ref="C278:E278"/>
    <mergeCell ref="C279:E279"/>
    <mergeCell ref="C280:E280"/>
    <mergeCell ref="C293:E293"/>
    <mergeCell ref="C294:E294"/>
    <mergeCell ref="C295:E295"/>
    <mergeCell ref="C296:E296"/>
    <mergeCell ref="C297:E297"/>
    <mergeCell ref="C298:E298"/>
    <mergeCell ref="C287:E287"/>
    <mergeCell ref="C288:E288"/>
    <mergeCell ref="C289:E289"/>
    <mergeCell ref="C290:E290"/>
    <mergeCell ref="C291:E291"/>
    <mergeCell ref="C292:E292"/>
    <mergeCell ref="C305:E305"/>
    <mergeCell ref="C306:E306"/>
    <mergeCell ref="C307:E307"/>
    <mergeCell ref="C308:E308"/>
    <mergeCell ref="C309:E309"/>
    <mergeCell ref="C310:E310"/>
    <mergeCell ref="C299:E299"/>
    <mergeCell ref="C300:E300"/>
    <mergeCell ref="C301:E301"/>
    <mergeCell ref="C302:E302"/>
    <mergeCell ref="C303:E303"/>
    <mergeCell ref="C304:E304"/>
    <mergeCell ref="C317:E317"/>
    <mergeCell ref="C318:E318"/>
    <mergeCell ref="C319:E319"/>
    <mergeCell ref="C320:E320"/>
    <mergeCell ref="C321:E321"/>
    <mergeCell ref="C322:E322"/>
    <mergeCell ref="C311:E311"/>
    <mergeCell ref="C312:E312"/>
    <mergeCell ref="C313:E313"/>
    <mergeCell ref="C314:E314"/>
    <mergeCell ref="C315:E315"/>
    <mergeCell ref="C316:E316"/>
    <mergeCell ref="C329:E329"/>
    <mergeCell ref="C330:E330"/>
    <mergeCell ref="C331:E331"/>
    <mergeCell ref="C332:E332"/>
    <mergeCell ref="C333:E333"/>
    <mergeCell ref="C334:E334"/>
    <mergeCell ref="C323:E323"/>
    <mergeCell ref="C324:E324"/>
    <mergeCell ref="C325:E325"/>
    <mergeCell ref="C326:E326"/>
    <mergeCell ref="C327:E327"/>
    <mergeCell ref="C328:E328"/>
    <mergeCell ref="C341:E341"/>
    <mergeCell ref="C342:E342"/>
    <mergeCell ref="C343:E343"/>
    <mergeCell ref="C344:E344"/>
    <mergeCell ref="C345:E345"/>
    <mergeCell ref="C346:E346"/>
    <mergeCell ref="C335:E335"/>
    <mergeCell ref="C336:E336"/>
    <mergeCell ref="C337:E337"/>
    <mergeCell ref="C338:E338"/>
    <mergeCell ref="C339:E339"/>
    <mergeCell ref="C340:E340"/>
    <mergeCell ref="C353:E353"/>
    <mergeCell ref="C354:E354"/>
    <mergeCell ref="C355:E355"/>
    <mergeCell ref="C356:E356"/>
    <mergeCell ref="C357:E357"/>
    <mergeCell ref="C358:E358"/>
    <mergeCell ref="C347:E347"/>
    <mergeCell ref="C348:E348"/>
    <mergeCell ref="C349:E349"/>
    <mergeCell ref="C350:E350"/>
    <mergeCell ref="C351:E351"/>
    <mergeCell ref="C352:E352"/>
    <mergeCell ref="C365:E365"/>
    <mergeCell ref="C366:E366"/>
    <mergeCell ref="C367:E367"/>
    <mergeCell ref="C368:E368"/>
    <mergeCell ref="C369:E369"/>
    <mergeCell ref="C370:E370"/>
    <mergeCell ref="C359:E359"/>
    <mergeCell ref="C360:E360"/>
    <mergeCell ref="C361:E361"/>
    <mergeCell ref="C362:E362"/>
    <mergeCell ref="C363:E363"/>
    <mergeCell ref="C364:E364"/>
    <mergeCell ref="C377:E377"/>
    <mergeCell ref="C378:E378"/>
    <mergeCell ref="C379:E379"/>
    <mergeCell ref="C380:E380"/>
    <mergeCell ref="C381:E381"/>
    <mergeCell ref="C382:E382"/>
    <mergeCell ref="C371:E371"/>
    <mergeCell ref="C372:E372"/>
    <mergeCell ref="C373:E373"/>
    <mergeCell ref="C374:E374"/>
    <mergeCell ref="C375:E375"/>
    <mergeCell ref="C376:E376"/>
    <mergeCell ref="C389:E389"/>
    <mergeCell ref="C390:E390"/>
    <mergeCell ref="C391:E391"/>
    <mergeCell ref="C392:E392"/>
    <mergeCell ref="C393:E393"/>
    <mergeCell ref="C394:E394"/>
    <mergeCell ref="C383:E383"/>
    <mergeCell ref="C384:E384"/>
    <mergeCell ref="C385:E385"/>
    <mergeCell ref="C386:E386"/>
    <mergeCell ref="C387:E387"/>
    <mergeCell ref="C388:E388"/>
    <mergeCell ref="C401:E401"/>
    <mergeCell ref="C402:E402"/>
    <mergeCell ref="C403:E403"/>
    <mergeCell ref="C404:E404"/>
    <mergeCell ref="C405:E405"/>
    <mergeCell ref="C406:E406"/>
    <mergeCell ref="C395:E395"/>
    <mergeCell ref="C396:E396"/>
    <mergeCell ref="C397:E397"/>
    <mergeCell ref="C398:E398"/>
    <mergeCell ref="C399:E399"/>
    <mergeCell ref="C400:E400"/>
    <mergeCell ref="C413:E413"/>
    <mergeCell ref="C414:E414"/>
    <mergeCell ref="C415:E415"/>
    <mergeCell ref="C416:E416"/>
    <mergeCell ref="C417:E417"/>
    <mergeCell ref="C418:E418"/>
    <mergeCell ref="C407:E407"/>
    <mergeCell ref="C408:E408"/>
    <mergeCell ref="C409:E409"/>
    <mergeCell ref="C410:E410"/>
    <mergeCell ref="C411:E411"/>
    <mergeCell ref="C412:E412"/>
    <mergeCell ref="C425:E425"/>
    <mergeCell ref="C426:E426"/>
    <mergeCell ref="C427:E427"/>
    <mergeCell ref="C428:E428"/>
    <mergeCell ref="C429:E429"/>
    <mergeCell ref="C430:E430"/>
    <mergeCell ref="C419:E419"/>
    <mergeCell ref="C420:E420"/>
    <mergeCell ref="C421:E421"/>
    <mergeCell ref="C422:E422"/>
    <mergeCell ref="C423:E423"/>
    <mergeCell ref="C424:E424"/>
    <mergeCell ref="C437:E437"/>
    <mergeCell ref="C438:E438"/>
    <mergeCell ref="C439:E439"/>
    <mergeCell ref="C440:E440"/>
    <mergeCell ref="C441:E441"/>
    <mergeCell ref="C442:E442"/>
    <mergeCell ref="C431:E431"/>
    <mergeCell ref="C432:E432"/>
    <mergeCell ref="C433:E433"/>
    <mergeCell ref="C434:E434"/>
    <mergeCell ref="C435:E435"/>
    <mergeCell ref="C436:E436"/>
    <mergeCell ref="C449:E449"/>
    <mergeCell ref="C450:E450"/>
    <mergeCell ref="C451:E451"/>
    <mergeCell ref="C452:E452"/>
    <mergeCell ref="C453:E453"/>
    <mergeCell ref="C454:E454"/>
    <mergeCell ref="C443:E443"/>
    <mergeCell ref="C444:E444"/>
    <mergeCell ref="C445:E445"/>
    <mergeCell ref="C446:E446"/>
    <mergeCell ref="C447:E447"/>
    <mergeCell ref="C448:E448"/>
    <mergeCell ref="C461:E461"/>
    <mergeCell ref="C462:E462"/>
    <mergeCell ref="C463:E463"/>
    <mergeCell ref="C464:E464"/>
    <mergeCell ref="C465:E465"/>
    <mergeCell ref="C466:E466"/>
    <mergeCell ref="C455:E455"/>
    <mergeCell ref="C456:E456"/>
    <mergeCell ref="C457:E457"/>
    <mergeCell ref="C458:E458"/>
    <mergeCell ref="C459:E459"/>
    <mergeCell ref="C460:E460"/>
    <mergeCell ref="C473:E473"/>
    <mergeCell ref="C474:E474"/>
    <mergeCell ref="C475:E475"/>
    <mergeCell ref="C476:E476"/>
    <mergeCell ref="C477:E477"/>
    <mergeCell ref="C478:E478"/>
    <mergeCell ref="C467:E467"/>
    <mergeCell ref="C468:E468"/>
    <mergeCell ref="C469:E469"/>
    <mergeCell ref="C470:E470"/>
    <mergeCell ref="C471:E471"/>
    <mergeCell ref="C472:E472"/>
    <mergeCell ref="C485:E485"/>
    <mergeCell ref="C486:E486"/>
    <mergeCell ref="C487:E487"/>
    <mergeCell ref="C488:E488"/>
    <mergeCell ref="C489:E489"/>
    <mergeCell ref="C490:E490"/>
    <mergeCell ref="C479:E479"/>
    <mergeCell ref="C480:E480"/>
    <mergeCell ref="C481:E481"/>
    <mergeCell ref="C482:E482"/>
    <mergeCell ref="C483:E483"/>
    <mergeCell ref="C484:E484"/>
    <mergeCell ref="C497:E497"/>
    <mergeCell ref="C498:E498"/>
    <mergeCell ref="C499:E499"/>
    <mergeCell ref="C500:E500"/>
    <mergeCell ref="C501:E501"/>
    <mergeCell ref="C502:E502"/>
    <mergeCell ref="C491:E491"/>
    <mergeCell ref="C492:E492"/>
    <mergeCell ref="C493:E493"/>
    <mergeCell ref="C494:E494"/>
    <mergeCell ref="C495:E495"/>
    <mergeCell ref="C496:E496"/>
    <mergeCell ref="C509:E509"/>
    <mergeCell ref="C510:E510"/>
    <mergeCell ref="C511:E511"/>
    <mergeCell ref="C512:E512"/>
    <mergeCell ref="C513:E513"/>
    <mergeCell ref="C514:E514"/>
    <mergeCell ref="C503:E503"/>
    <mergeCell ref="C504:E504"/>
    <mergeCell ref="C505:E505"/>
    <mergeCell ref="C506:E506"/>
    <mergeCell ref="C507:E507"/>
    <mergeCell ref="C508:E508"/>
    <mergeCell ref="C521:E521"/>
    <mergeCell ref="C522:E522"/>
    <mergeCell ref="C523:E523"/>
    <mergeCell ref="C524:E524"/>
    <mergeCell ref="I525:J525"/>
    <mergeCell ref="A527:L527"/>
    <mergeCell ref="C515:E515"/>
    <mergeCell ref="C516:E516"/>
    <mergeCell ref="C517:E517"/>
    <mergeCell ref="C518:E518"/>
    <mergeCell ref="C519:E519"/>
    <mergeCell ref="C520:E520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workbookViewId="0"/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53"/>
      <c r="B1" s="7"/>
      <c r="C1" s="121" t="s">
        <v>914</v>
      </c>
      <c r="D1" s="89"/>
      <c r="E1" s="89"/>
      <c r="F1" s="89"/>
      <c r="G1" s="89"/>
      <c r="H1" s="89"/>
      <c r="I1" s="89"/>
    </row>
    <row r="2" spans="1:10" x14ac:dyDescent="0.2">
      <c r="A2" s="90" t="s">
        <v>1</v>
      </c>
      <c r="B2" s="91"/>
      <c r="C2" s="92" t="str">
        <f>'Stavební rozpočet'!C2</f>
        <v>SNÍŽENÍ ENERGETICKÉ NÁROČNOSTI BUDOVY 3. ZÁKLADNÍ ŠKOLY, CHEB</v>
      </c>
      <c r="D2" s="63"/>
      <c r="E2" s="95" t="s">
        <v>830</v>
      </c>
      <c r="F2" s="95" t="str">
        <f>'Stavební rozpočet'!I2</f>
        <v>Město Cheb</v>
      </c>
      <c r="G2" s="91"/>
      <c r="H2" s="95" t="s">
        <v>939</v>
      </c>
      <c r="I2" s="122"/>
      <c r="J2" s="30"/>
    </row>
    <row r="3" spans="1:10" ht="25.7" customHeight="1" x14ac:dyDescent="0.2">
      <c r="A3" s="87"/>
      <c r="B3" s="65"/>
      <c r="C3" s="93"/>
      <c r="D3" s="93"/>
      <c r="E3" s="65"/>
      <c r="F3" s="65"/>
      <c r="G3" s="65"/>
      <c r="H3" s="65"/>
      <c r="I3" s="85"/>
      <c r="J3" s="30"/>
    </row>
    <row r="4" spans="1:10" x14ac:dyDescent="0.2">
      <c r="A4" s="81" t="s">
        <v>2</v>
      </c>
      <c r="B4" s="65"/>
      <c r="C4" s="64" t="str">
        <f>'Stavební rozpočet'!C4</f>
        <v>Objekt 3 - učebny 2. stupeň</v>
      </c>
      <c r="D4" s="65"/>
      <c r="E4" s="64" t="s">
        <v>831</v>
      </c>
      <c r="F4" s="64" t="str">
        <f>'Stavební rozpočet'!I4</f>
        <v>Kamila Možná</v>
      </c>
      <c r="G4" s="65"/>
      <c r="H4" s="64" t="s">
        <v>939</v>
      </c>
      <c r="I4" s="118"/>
      <c r="J4" s="30"/>
    </row>
    <row r="5" spans="1:10" x14ac:dyDescent="0.2">
      <c r="A5" s="87"/>
      <c r="B5" s="65"/>
      <c r="C5" s="65"/>
      <c r="D5" s="65"/>
      <c r="E5" s="65"/>
      <c r="F5" s="65"/>
      <c r="G5" s="65"/>
      <c r="H5" s="65"/>
      <c r="I5" s="85"/>
      <c r="J5" s="30"/>
    </row>
    <row r="6" spans="1:10" x14ac:dyDescent="0.2">
      <c r="A6" s="81" t="s">
        <v>3</v>
      </c>
      <c r="B6" s="65"/>
      <c r="C6" s="64" t="str">
        <f>'Stavební rozpočet'!C6</f>
        <v>Malé Náměstí 2287/3, 350 02 Cheb</v>
      </c>
      <c r="D6" s="65"/>
      <c r="E6" s="64" t="s">
        <v>832</v>
      </c>
      <c r="F6" s="64" t="str">
        <f>'Stavební rozpočet'!I6</f>
        <v>Dle výběrového řízení</v>
      </c>
      <c r="G6" s="65"/>
      <c r="H6" s="64" t="s">
        <v>939</v>
      </c>
      <c r="I6" s="118"/>
      <c r="J6" s="30"/>
    </row>
    <row r="7" spans="1:10" x14ac:dyDescent="0.2">
      <c r="A7" s="87"/>
      <c r="B7" s="65"/>
      <c r="C7" s="65"/>
      <c r="D7" s="65"/>
      <c r="E7" s="65"/>
      <c r="F7" s="65"/>
      <c r="G7" s="65"/>
      <c r="H7" s="65"/>
      <c r="I7" s="85"/>
      <c r="J7" s="30"/>
    </row>
    <row r="8" spans="1:10" x14ac:dyDescent="0.2">
      <c r="A8" s="81" t="s">
        <v>818</v>
      </c>
      <c r="B8" s="65"/>
      <c r="C8" s="64" t="str">
        <f>'Stavební rozpočet'!F4</f>
        <v xml:space="preserve"> </v>
      </c>
      <c r="D8" s="65"/>
      <c r="E8" s="64" t="s">
        <v>819</v>
      </c>
      <c r="F8" s="64" t="str">
        <f>'Stavební rozpočet'!F6</f>
        <v xml:space="preserve"> </v>
      </c>
      <c r="G8" s="65"/>
      <c r="H8" s="84" t="s">
        <v>940</v>
      </c>
      <c r="I8" s="118" t="s">
        <v>167</v>
      </c>
      <c r="J8" s="30"/>
    </row>
    <row r="9" spans="1:10" x14ac:dyDescent="0.2">
      <c r="A9" s="87"/>
      <c r="B9" s="65"/>
      <c r="C9" s="65"/>
      <c r="D9" s="65"/>
      <c r="E9" s="65"/>
      <c r="F9" s="65"/>
      <c r="G9" s="65"/>
      <c r="H9" s="65"/>
      <c r="I9" s="85"/>
      <c r="J9" s="30"/>
    </row>
    <row r="10" spans="1:10" x14ac:dyDescent="0.2">
      <c r="A10" s="81" t="s">
        <v>4</v>
      </c>
      <c r="B10" s="65"/>
      <c r="C10" s="64" t="str">
        <f>'Stavební rozpočet'!C8</f>
        <v xml:space="preserve"> </v>
      </c>
      <c r="D10" s="65"/>
      <c r="E10" s="64" t="s">
        <v>833</v>
      </c>
      <c r="F10" s="64" t="str">
        <f>'Stavební rozpočet'!I8</f>
        <v>Kamila Možná</v>
      </c>
      <c r="G10" s="65"/>
      <c r="H10" s="84" t="s">
        <v>941</v>
      </c>
      <c r="I10" s="116" t="str">
        <f>'Stavební rozpočet'!F8</f>
        <v>15.10.2019</v>
      </c>
      <c r="J10" s="30"/>
    </row>
    <row r="11" spans="1:10" x14ac:dyDescent="0.2">
      <c r="A11" s="119"/>
      <c r="B11" s="120"/>
      <c r="C11" s="120"/>
      <c r="D11" s="120"/>
      <c r="E11" s="120"/>
      <c r="F11" s="120"/>
      <c r="G11" s="120"/>
      <c r="H11" s="120"/>
      <c r="I11" s="117"/>
      <c r="J11" s="30"/>
    </row>
    <row r="12" spans="1:10" ht="23.45" customHeight="1" x14ac:dyDescent="0.2">
      <c r="A12" s="112" t="s">
        <v>899</v>
      </c>
      <c r="B12" s="113"/>
      <c r="C12" s="113"/>
      <c r="D12" s="113"/>
      <c r="E12" s="113"/>
      <c r="F12" s="113"/>
      <c r="G12" s="113"/>
      <c r="H12" s="113"/>
      <c r="I12" s="113"/>
    </row>
    <row r="13" spans="1:10" ht="26.45" customHeight="1" x14ac:dyDescent="0.2">
      <c r="A13" s="37" t="s">
        <v>900</v>
      </c>
      <c r="B13" s="114" t="s">
        <v>912</v>
      </c>
      <c r="C13" s="115"/>
      <c r="D13" s="37" t="s">
        <v>915</v>
      </c>
      <c r="E13" s="114" t="s">
        <v>924</v>
      </c>
      <c r="F13" s="115"/>
      <c r="G13" s="37" t="s">
        <v>925</v>
      </c>
      <c r="H13" s="114" t="s">
        <v>942</v>
      </c>
      <c r="I13" s="115"/>
      <c r="J13" s="30"/>
    </row>
    <row r="14" spans="1:10" ht="15.2" customHeight="1" x14ac:dyDescent="0.2">
      <c r="A14" s="38" t="s">
        <v>901</v>
      </c>
      <c r="B14" s="42" t="s">
        <v>913</v>
      </c>
      <c r="C14" s="46">
        <f>SUM('Stavební rozpočet'!AB12:AB524)</f>
        <v>0</v>
      </c>
      <c r="D14" s="110" t="s">
        <v>916</v>
      </c>
      <c r="E14" s="111"/>
      <c r="F14" s="46">
        <v>0</v>
      </c>
      <c r="G14" s="110" t="s">
        <v>926</v>
      </c>
      <c r="H14" s="111"/>
      <c r="I14" s="46">
        <v>0</v>
      </c>
      <c r="J14" s="30"/>
    </row>
    <row r="15" spans="1:10" ht="15.2" customHeight="1" x14ac:dyDescent="0.2">
      <c r="A15" s="39"/>
      <c r="B15" s="42" t="s">
        <v>842</v>
      </c>
      <c r="C15" s="46">
        <f>SUM('Stavební rozpočet'!AC12:AC524)</f>
        <v>0</v>
      </c>
      <c r="D15" s="110" t="s">
        <v>917</v>
      </c>
      <c r="E15" s="111"/>
      <c r="F15" s="46">
        <v>0</v>
      </c>
      <c r="G15" s="110" t="s">
        <v>927</v>
      </c>
      <c r="H15" s="111"/>
      <c r="I15" s="46">
        <v>0</v>
      </c>
      <c r="J15" s="30"/>
    </row>
    <row r="16" spans="1:10" ht="15.2" customHeight="1" x14ac:dyDescent="0.2">
      <c r="A16" s="38" t="s">
        <v>902</v>
      </c>
      <c r="B16" s="42" t="s">
        <v>913</v>
      </c>
      <c r="C16" s="46">
        <f>SUM('Stavební rozpočet'!AD12:AD524)</f>
        <v>0</v>
      </c>
      <c r="D16" s="110" t="s">
        <v>918</v>
      </c>
      <c r="E16" s="111"/>
      <c r="F16" s="46">
        <v>0</v>
      </c>
      <c r="G16" s="110" t="s">
        <v>928</v>
      </c>
      <c r="H16" s="111"/>
      <c r="I16" s="46">
        <v>0</v>
      </c>
      <c r="J16" s="30"/>
    </row>
    <row r="17" spans="1:10" ht="15.2" customHeight="1" x14ac:dyDescent="0.2">
      <c r="A17" s="39"/>
      <c r="B17" s="42" t="s">
        <v>842</v>
      </c>
      <c r="C17" s="46">
        <f>SUM('Stavební rozpočet'!AE12:AE524)</f>
        <v>0</v>
      </c>
      <c r="D17" s="110"/>
      <c r="E17" s="111"/>
      <c r="F17" s="47"/>
      <c r="G17" s="110" t="s">
        <v>929</v>
      </c>
      <c r="H17" s="111"/>
      <c r="I17" s="46">
        <v>0</v>
      </c>
      <c r="J17" s="30"/>
    </row>
    <row r="18" spans="1:10" ht="15.2" customHeight="1" x14ac:dyDescent="0.2">
      <c r="A18" s="38" t="s">
        <v>903</v>
      </c>
      <c r="B18" s="42" t="s">
        <v>913</v>
      </c>
      <c r="C18" s="46">
        <f>SUM('Stavební rozpočet'!AF12:AF524)</f>
        <v>0</v>
      </c>
      <c r="D18" s="110"/>
      <c r="E18" s="111"/>
      <c r="F18" s="47"/>
      <c r="G18" s="110" t="s">
        <v>930</v>
      </c>
      <c r="H18" s="111"/>
      <c r="I18" s="46">
        <v>0</v>
      </c>
      <c r="J18" s="30"/>
    </row>
    <row r="19" spans="1:10" ht="15.2" customHeight="1" x14ac:dyDescent="0.2">
      <c r="A19" s="39"/>
      <c r="B19" s="42" t="s">
        <v>842</v>
      </c>
      <c r="C19" s="46">
        <f>SUM('Stavební rozpočet'!AG12:AG524)</f>
        <v>0</v>
      </c>
      <c r="D19" s="110"/>
      <c r="E19" s="111"/>
      <c r="F19" s="47"/>
      <c r="G19" s="110" t="s">
        <v>931</v>
      </c>
      <c r="H19" s="111"/>
      <c r="I19" s="46">
        <v>0</v>
      </c>
      <c r="J19" s="30"/>
    </row>
    <row r="20" spans="1:10" ht="15.2" customHeight="1" x14ac:dyDescent="0.2">
      <c r="A20" s="108" t="s">
        <v>904</v>
      </c>
      <c r="B20" s="109"/>
      <c r="C20" s="46">
        <f>SUM('Stavební rozpočet'!AH12:AH524)</f>
        <v>0</v>
      </c>
      <c r="D20" s="110"/>
      <c r="E20" s="111"/>
      <c r="F20" s="47"/>
      <c r="G20" s="110"/>
      <c r="H20" s="111"/>
      <c r="I20" s="47"/>
      <c r="J20" s="30"/>
    </row>
    <row r="21" spans="1:10" ht="15.2" customHeight="1" x14ac:dyDescent="0.2">
      <c r="A21" s="108" t="s">
        <v>905</v>
      </c>
      <c r="B21" s="109"/>
      <c r="C21" s="46">
        <f>SUM('Stavební rozpočet'!Z12:Z524)</f>
        <v>0</v>
      </c>
      <c r="D21" s="110"/>
      <c r="E21" s="111"/>
      <c r="F21" s="47"/>
      <c r="G21" s="110"/>
      <c r="H21" s="111"/>
      <c r="I21" s="47"/>
      <c r="J21" s="30"/>
    </row>
    <row r="22" spans="1:10" ht="16.7" customHeight="1" x14ac:dyDescent="0.2">
      <c r="A22" s="108" t="s">
        <v>906</v>
      </c>
      <c r="B22" s="109"/>
      <c r="C22" s="46">
        <f>SUM(C14:C21)</f>
        <v>0</v>
      </c>
      <c r="D22" s="108" t="s">
        <v>919</v>
      </c>
      <c r="E22" s="109"/>
      <c r="F22" s="46">
        <f>SUM(F14:F21)</f>
        <v>0</v>
      </c>
      <c r="G22" s="108" t="s">
        <v>932</v>
      </c>
      <c r="H22" s="109"/>
      <c r="I22" s="46">
        <f>SUM(I14:I21)</f>
        <v>0</v>
      </c>
      <c r="J22" s="30"/>
    </row>
    <row r="23" spans="1:10" ht="15.2" customHeight="1" x14ac:dyDescent="0.2">
      <c r="A23" s="8"/>
      <c r="B23" s="8"/>
      <c r="C23" s="44"/>
      <c r="D23" s="108" t="s">
        <v>920</v>
      </c>
      <c r="E23" s="109"/>
      <c r="F23" s="48">
        <v>0</v>
      </c>
      <c r="G23" s="108" t="s">
        <v>933</v>
      </c>
      <c r="H23" s="109"/>
      <c r="I23" s="46">
        <v>0</v>
      </c>
      <c r="J23" s="30"/>
    </row>
    <row r="24" spans="1:10" ht="15.2" customHeight="1" x14ac:dyDescent="0.2">
      <c r="D24" s="8"/>
      <c r="E24" s="8"/>
      <c r="F24" s="49"/>
      <c r="G24" s="108" t="s">
        <v>934</v>
      </c>
      <c r="H24" s="109"/>
      <c r="I24" s="51"/>
    </row>
    <row r="25" spans="1:10" ht="15.2" customHeight="1" x14ac:dyDescent="0.2">
      <c r="F25" s="50"/>
      <c r="G25" s="108" t="s">
        <v>935</v>
      </c>
      <c r="H25" s="109"/>
      <c r="I25" s="46">
        <v>0</v>
      </c>
      <c r="J25" s="30"/>
    </row>
    <row r="26" spans="1:10" x14ac:dyDescent="0.2">
      <c r="A26" s="7"/>
      <c r="B26" s="7"/>
      <c r="C26" s="7"/>
      <c r="G26" s="8"/>
      <c r="H26" s="8"/>
      <c r="I26" s="8"/>
    </row>
    <row r="27" spans="1:10" ht="15.2" customHeight="1" x14ac:dyDescent="0.2">
      <c r="A27" s="103" t="s">
        <v>907</v>
      </c>
      <c r="B27" s="104"/>
      <c r="C27" s="52">
        <f>SUM('Stavební rozpočet'!AJ12:AJ524)</f>
        <v>0</v>
      </c>
      <c r="D27" s="45"/>
      <c r="E27" s="7"/>
      <c r="F27" s="7"/>
      <c r="G27" s="7"/>
      <c r="H27" s="7"/>
      <c r="I27" s="7"/>
    </row>
    <row r="28" spans="1:10" ht="15.2" customHeight="1" x14ac:dyDescent="0.2">
      <c r="A28" s="103" t="s">
        <v>908</v>
      </c>
      <c r="B28" s="104"/>
      <c r="C28" s="52">
        <f>SUM('Stavební rozpočet'!AK12:AK524)</f>
        <v>0</v>
      </c>
      <c r="D28" s="103" t="s">
        <v>921</v>
      </c>
      <c r="E28" s="104"/>
      <c r="F28" s="52">
        <f>ROUND(C28*(15/100),2)</f>
        <v>0</v>
      </c>
      <c r="G28" s="103" t="s">
        <v>936</v>
      </c>
      <c r="H28" s="104"/>
      <c r="I28" s="52">
        <f>SUM(C27:C29)</f>
        <v>0</v>
      </c>
      <c r="J28" s="30"/>
    </row>
    <row r="29" spans="1:10" ht="15.2" customHeight="1" x14ac:dyDescent="0.2">
      <c r="A29" s="103" t="s">
        <v>909</v>
      </c>
      <c r="B29" s="104"/>
      <c r="C29" s="52">
        <f>SUM('Stavební rozpočet'!AL12:AL524)+(F22+I22+F23+I23+I24+I25)</f>
        <v>0</v>
      </c>
      <c r="D29" s="103" t="s">
        <v>922</v>
      </c>
      <c r="E29" s="104"/>
      <c r="F29" s="52">
        <f>ROUND(C29*(21/100),2)</f>
        <v>0</v>
      </c>
      <c r="G29" s="103" t="s">
        <v>937</v>
      </c>
      <c r="H29" s="104"/>
      <c r="I29" s="52">
        <f>SUM(F28:F29)+I28</f>
        <v>0</v>
      </c>
      <c r="J29" s="30"/>
    </row>
    <row r="30" spans="1:10" x14ac:dyDescent="0.2">
      <c r="A30" s="40"/>
      <c r="B30" s="40"/>
      <c r="C30" s="40"/>
      <c r="D30" s="40"/>
      <c r="E30" s="40"/>
      <c r="F30" s="40"/>
      <c r="G30" s="40"/>
      <c r="H30" s="40"/>
      <c r="I30" s="40"/>
    </row>
    <row r="31" spans="1:10" ht="14.45" customHeight="1" x14ac:dyDescent="0.2">
      <c r="A31" s="105" t="s">
        <v>910</v>
      </c>
      <c r="B31" s="106"/>
      <c r="C31" s="107"/>
      <c r="D31" s="105" t="s">
        <v>923</v>
      </c>
      <c r="E31" s="106"/>
      <c r="F31" s="107"/>
      <c r="G31" s="105" t="s">
        <v>938</v>
      </c>
      <c r="H31" s="106"/>
      <c r="I31" s="107"/>
      <c r="J31" s="31"/>
    </row>
    <row r="32" spans="1:10" ht="14.45" customHeight="1" x14ac:dyDescent="0.2">
      <c r="A32" s="97"/>
      <c r="B32" s="98"/>
      <c r="C32" s="99"/>
      <c r="D32" s="97"/>
      <c r="E32" s="98"/>
      <c r="F32" s="99"/>
      <c r="G32" s="97"/>
      <c r="H32" s="98"/>
      <c r="I32" s="99"/>
      <c r="J32" s="31"/>
    </row>
    <row r="33" spans="1:10" ht="14.45" customHeight="1" x14ac:dyDescent="0.2">
      <c r="A33" s="97"/>
      <c r="B33" s="98"/>
      <c r="C33" s="99"/>
      <c r="D33" s="97"/>
      <c r="E33" s="98"/>
      <c r="F33" s="99"/>
      <c r="G33" s="97"/>
      <c r="H33" s="98"/>
      <c r="I33" s="99"/>
      <c r="J33" s="31"/>
    </row>
    <row r="34" spans="1:10" ht="14.45" customHeight="1" x14ac:dyDescent="0.2">
      <c r="A34" s="97"/>
      <c r="B34" s="98"/>
      <c r="C34" s="99"/>
      <c r="D34" s="97"/>
      <c r="E34" s="98"/>
      <c r="F34" s="99"/>
      <c r="G34" s="97"/>
      <c r="H34" s="98"/>
      <c r="I34" s="99"/>
      <c r="J34" s="31"/>
    </row>
    <row r="35" spans="1:10" ht="14.45" customHeight="1" x14ac:dyDescent="0.2">
      <c r="A35" s="100" t="s">
        <v>911</v>
      </c>
      <c r="B35" s="101"/>
      <c r="C35" s="102"/>
      <c r="D35" s="100" t="s">
        <v>911</v>
      </c>
      <c r="E35" s="101"/>
      <c r="F35" s="102"/>
      <c r="G35" s="100" t="s">
        <v>911</v>
      </c>
      <c r="H35" s="101"/>
      <c r="I35" s="102"/>
      <c r="J35" s="31"/>
    </row>
    <row r="36" spans="1:10" ht="11.25" customHeight="1" x14ac:dyDescent="0.2">
      <c r="A36" s="41" t="s">
        <v>168</v>
      </c>
      <c r="B36" s="43"/>
      <c r="C36" s="43"/>
      <c r="D36" s="43"/>
      <c r="E36" s="43"/>
      <c r="F36" s="43"/>
      <c r="G36" s="43"/>
      <c r="H36" s="43"/>
      <c r="I36" s="43"/>
    </row>
    <row r="37" spans="1:10" x14ac:dyDescent="0.2">
      <c r="A37" s="64"/>
      <c r="B37" s="65"/>
      <c r="C37" s="65"/>
      <c r="D37" s="65"/>
      <c r="E37" s="65"/>
      <c r="F37" s="65"/>
      <c r="G37" s="65"/>
      <c r="H37" s="65"/>
      <c r="I37" s="65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Pospíšil Zdeněk</cp:lastModifiedBy>
  <dcterms:created xsi:type="dcterms:W3CDTF">2020-10-06T07:18:46Z</dcterms:created>
  <dcterms:modified xsi:type="dcterms:W3CDTF">2020-10-15T06:49:24Z</dcterms:modified>
</cp:coreProperties>
</file>