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stavební\"/>
    </mc:Choice>
  </mc:AlternateContent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62913"/>
</workbook>
</file>

<file path=xl/calcChain.xml><?xml version="1.0" encoding="utf-8"?>
<calcChain xmlns="http://schemas.openxmlformats.org/spreadsheetml/2006/main">
  <c r="Z39" i="1" l="1"/>
  <c r="AD39" i="1"/>
  <c r="AE39" i="1"/>
  <c r="AF39" i="1"/>
  <c r="AG39" i="1"/>
  <c r="AH39" i="1"/>
  <c r="AJ39" i="1"/>
  <c r="AK39" i="1"/>
  <c r="AL39" i="1"/>
  <c r="AO39" i="1"/>
  <c r="AW39" i="1" s="1"/>
  <c r="BC39" i="1" s="1"/>
  <c r="AP39" i="1"/>
  <c r="AX39" i="1" s="1"/>
  <c r="BD39" i="1"/>
  <c r="BF39" i="1"/>
  <c r="BH39" i="1"/>
  <c r="AB39" i="1" s="1"/>
  <c r="BJ39" i="1"/>
  <c r="BJ38" i="1"/>
  <c r="BF38" i="1"/>
  <c r="BD38" i="1"/>
  <c r="AP38" i="1"/>
  <c r="BI38" i="1" s="1"/>
  <c r="AC38" i="1" s="1"/>
  <c r="AO38" i="1"/>
  <c r="I38" i="1" s="1"/>
  <c r="AK38" i="1"/>
  <c r="AJ38" i="1"/>
  <c r="AH38" i="1"/>
  <c r="AG38" i="1"/>
  <c r="AF38" i="1"/>
  <c r="AE38" i="1"/>
  <c r="AD38" i="1"/>
  <c r="Z38" i="1"/>
  <c r="K38" i="1"/>
  <c r="AL38" i="1" s="1"/>
  <c r="K37" i="1" l="1"/>
  <c r="BI39" i="1"/>
  <c r="AC39" i="1" s="1"/>
  <c r="AX38" i="1"/>
  <c r="AV39" i="1"/>
  <c r="BH38" i="1"/>
  <c r="AB38" i="1" s="1"/>
  <c r="J38" i="1"/>
  <c r="AW38" i="1"/>
  <c r="C2" i="2"/>
  <c r="F2" i="2"/>
  <c r="C4" i="2"/>
  <c r="F4" i="2"/>
  <c r="C6" i="2"/>
  <c r="F6" i="2"/>
  <c r="C8" i="2"/>
  <c r="F8" i="2"/>
  <c r="C10" i="2"/>
  <c r="F10" i="2"/>
  <c r="I10" i="2"/>
  <c r="F22" i="2"/>
  <c r="I22" i="2"/>
  <c r="K48" i="1"/>
  <c r="AL48" i="1" s="1"/>
  <c r="Z48" i="1"/>
  <c r="AD48" i="1"/>
  <c r="AE48" i="1"/>
  <c r="AF48" i="1"/>
  <c r="AG48" i="1"/>
  <c r="AH48" i="1"/>
  <c r="AJ48" i="1"/>
  <c r="AK48" i="1"/>
  <c r="AO48" i="1"/>
  <c r="AP48" i="1"/>
  <c r="BI48" i="1" s="1"/>
  <c r="AC48" i="1" s="1"/>
  <c r="BD48" i="1"/>
  <c r="BF48" i="1"/>
  <c r="BJ48" i="1"/>
  <c r="K13" i="1"/>
  <c r="AL13" i="1" s="1"/>
  <c r="Z13" i="1"/>
  <c r="AD13" i="1"/>
  <c r="AE13" i="1"/>
  <c r="AF13" i="1"/>
  <c r="AG13" i="1"/>
  <c r="AH13" i="1"/>
  <c r="AJ13" i="1"/>
  <c r="AS12" i="1" s="1"/>
  <c r="AK13" i="1"/>
  <c r="AT12" i="1" s="1"/>
  <c r="AO13" i="1"/>
  <c r="BH13" i="1" s="1"/>
  <c r="AB13" i="1" s="1"/>
  <c r="AP13" i="1"/>
  <c r="AX13" i="1" s="1"/>
  <c r="BD13" i="1"/>
  <c r="BF13" i="1"/>
  <c r="BI13" i="1"/>
  <c r="AC13" i="1" s="1"/>
  <c r="BJ13" i="1"/>
  <c r="K16" i="1"/>
  <c r="Z16" i="1"/>
  <c r="AD16" i="1"/>
  <c r="AE16" i="1"/>
  <c r="AF16" i="1"/>
  <c r="AG16" i="1"/>
  <c r="AH16" i="1"/>
  <c r="AJ16" i="1"/>
  <c r="AS15" i="1" s="1"/>
  <c r="AK16" i="1"/>
  <c r="AT15" i="1" s="1"/>
  <c r="AO16" i="1"/>
  <c r="AP16" i="1"/>
  <c r="BD16" i="1"/>
  <c r="BF16" i="1"/>
  <c r="BJ16" i="1"/>
  <c r="K20" i="1"/>
  <c r="Z20" i="1"/>
  <c r="AD20" i="1"/>
  <c r="AE20" i="1"/>
  <c r="AF20" i="1"/>
  <c r="AG20" i="1"/>
  <c r="AH20" i="1"/>
  <c r="AJ20" i="1"/>
  <c r="AK20" i="1"/>
  <c r="AO20" i="1"/>
  <c r="BH20" i="1" s="1"/>
  <c r="AB20" i="1" s="1"/>
  <c r="AP20" i="1"/>
  <c r="J20" i="1" s="1"/>
  <c r="BD20" i="1"/>
  <c r="BF20" i="1"/>
  <c r="BI20" i="1"/>
  <c r="AC20" i="1" s="1"/>
  <c r="BJ20" i="1"/>
  <c r="K23" i="1"/>
  <c r="AL23" i="1" s="1"/>
  <c r="Z23" i="1"/>
  <c r="AD23" i="1"/>
  <c r="AE23" i="1"/>
  <c r="AF23" i="1"/>
  <c r="AG23" i="1"/>
  <c r="AH23" i="1"/>
  <c r="AJ23" i="1"/>
  <c r="AK23" i="1"/>
  <c r="AT19" i="1" s="1"/>
  <c r="AO23" i="1"/>
  <c r="I23" i="1" s="1"/>
  <c r="AP23" i="1"/>
  <c r="J23" i="1" s="1"/>
  <c r="BD23" i="1"/>
  <c r="BF23" i="1"/>
  <c r="BJ23" i="1"/>
  <c r="K26" i="1"/>
  <c r="Z26" i="1"/>
  <c r="AD26" i="1"/>
  <c r="AE26" i="1"/>
  <c r="AF26" i="1"/>
  <c r="AG26" i="1"/>
  <c r="AH26" i="1"/>
  <c r="AJ26" i="1"/>
  <c r="AK26" i="1"/>
  <c r="AO26" i="1"/>
  <c r="AP26" i="1"/>
  <c r="BI26" i="1" s="1"/>
  <c r="AC26" i="1" s="1"/>
  <c r="BD26" i="1"/>
  <c r="BF26" i="1"/>
  <c r="BJ26" i="1"/>
  <c r="K30" i="1"/>
  <c r="AL30" i="1" s="1"/>
  <c r="Z30" i="1"/>
  <c r="AD30" i="1"/>
  <c r="AE30" i="1"/>
  <c r="AF30" i="1"/>
  <c r="AG30" i="1"/>
  <c r="AH30" i="1"/>
  <c r="AJ30" i="1"/>
  <c r="AK30" i="1"/>
  <c r="AO30" i="1"/>
  <c r="I30" i="1" s="1"/>
  <c r="AP30" i="1"/>
  <c r="AX30" i="1" s="1"/>
  <c r="BD30" i="1"/>
  <c r="BF30" i="1"/>
  <c r="BJ30" i="1"/>
  <c r="K32" i="1"/>
  <c r="AL32" i="1" s="1"/>
  <c r="Z32" i="1"/>
  <c r="AD32" i="1"/>
  <c r="AE32" i="1"/>
  <c r="AF32" i="1"/>
  <c r="AG32" i="1"/>
  <c r="AH32" i="1"/>
  <c r="AJ32" i="1"/>
  <c r="AK32" i="1"/>
  <c r="AO32" i="1"/>
  <c r="I32" i="1" s="1"/>
  <c r="AP32" i="1"/>
  <c r="AW32" i="1"/>
  <c r="BD32" i="1"/>
  <c r="BF32" i="1"/>
  <c r="BJ32" i="1"/>
  <c r="K35" i="1"/>
  <c r="K34" i="1" s="1"/>
  <c r="Z35" i="1"/>
  <c r="AD35" i="1"/>
  <c r="AE35" i="1"/>
  <c r="AF35" i="1"/>
  <c r="AG35" i="1"/>
  <c r="AH35" i="1"/>
  <c r="AJ35" i="1"/>
  <c r="AS34" i="1" s="1"/>
  <c r="AK35" i="1"/>
  <c r="AT34" i="1" s="1"/>
  <c r="AO35" i="1"/>
  <c r="AP35" i="1"/>
  <c r="BD35" i="1"/>
  <c r="BF35" i="1"/>
  <c r="BI35" i="1"/>
  <c r="AC35" i="1" s="1"/>
  <c r="BJ35" i="1"/>
  <c r="AS37" i="1"/>
  <c r="AT37" i="1"/>
  <c r="K40" i="1"/>
  <c r="K41" i="1"/>
  <c r="AL41" i="1" s="1"/>
  <c r="AU40" i="1" s="1"/>
  <c r="Z41" i="1"/>
  <c r="AD41" i="1"/>
  <c r="AE41" i="1"/>
  <c r="AF41" i="1"/>
  <c r="AG41" i="1"/>
  <c r="AH41" i="1"/>
  <c r="AJ41" i="1"/>
  <c r="AS40" i="1" s="1"/>
  <c r="AK41" i="1"/>
  <c r="AT40" i="1" s="1"/>
  <c r="AO41" i="1"/>
  <c r="BH41" i="1" s="1"/>
  <c r="AB41" i="1" s="1"/>
  <c r="AP41" i="1"/>
  <c r="BD41" i="1"/>
  <c r="BF41" i="1"/>
  <c r="BI41" i="1"/>
  <c r="AC41" i="1" s="1"/>
  <c r="BJ41" i="1"/>
  <c r="K44" i="1"/>
  <c r="AL44" i="1" s="1"/>
  <c r="Z44" i="1"/>
  <c r="AD44" i="1"/>
  <c r="AE44" i="1"/>
  <c r="AF44" i="1"/>
  <c r="AG44" i="1"/>
  <c r="AH44" i="1"/>
  <c r="AJ44" i="1"/>
  <c r="AK44" i="1"/>
  <c r="AO44" i="1"/>
  <c r="I44" i="1" s="1"/>
  <c r="AP44" i="1"/>
  <c r="BD44" i="1"/>
  <c r="BF44" i="1"/>
  <c r="BH44" i="1"/>
  <c r="AB44" i="1" s="1"/>
  <c r="BJ44" i="1"/>
  <c r="K51" i="1"/>
  <c r="AL51" i="1" s="1"/>
  <c r="Z51" i="1"/>
  <c r="AD51" i="1"/>
  <c r="AE51" i="1"/>
  <c r="AF51" i="1"/>
  <c r="AG51" i="1"/>
  <c r="AH51" i="1"/>
  <c r="AJ51" i="1"/>
  <c r="AK51" i="1"/>
  <c r="AO51" i="1"/>
  <c r="AP51" i="1"/>
  <c r="BD51" i="1"/>
  <c r="BF51" i="1"/>
  <c r="BH51" i="1"/>
  <c r="AB51" i="1" s="1"/>
  <c r="BJ51" i="1"/>
  <c r="K55" i="1"/>
  <c r="Z55" i="1"/>
  <c r="AD55" i="1"/>
  <c r="AE55" i="1"/>
  <c r="AF55" i="1"/>
  <c r="AG55" i="1"/>
  <c r="AH55" i="1"/>
  <c r="AJ55" i="1"/>
  <c r="AS54" i="1" s="1"/>
  <c r="AK55" i="1"/>
  <c r="AT54" i="1" s="1"/>
  <c r="AO55" i="1"/>
  <c r="BH55" i="1" s="1"/>
  <c r="AB55" i="1" s="1"/>
  <c r="AP55" i="1"/>
  <c r="AX55" i="1" s="1"/>
  <c r="BD55" i="1"/>
  <c r="BF55" i="1"/>
  <c r="BI55" i="1"/>
  <c r="AC55" i="1" s="1"/>
  <c r="BJ55" i="1"/>
  <c r="K59" i="1"/>
  <c r="Z59" i="1"/>
  <c r="AD59" i="1"/>
  <c r="AE59" i="1"/>
  <c r="AF59" i="1"/>
  <c r="AG59" i="1"/>
  <c r="AH59" i="1"/>
  <c r="AJ59" i="1"/>
  <c r="AS58" i="1" s="1"/>
  <c r="AK59" i="1"/>
  <c r="AT58" i="1" s="1"/>
  <c r="AO59" i="1"/>
  <c r="AP59" i="1"/>
  <c r="AX59" i="1" s="1"/>
  <c r="BD59" i="1"/>
  <c r="BF59" i="1"/>
  <c r="BJ59" i="1"/>
  <c r="K65" i="1"/>
  <c r="Z65" i="1"/>
  <c r="AD65" i="1"/>
  <c r="AE65" i="1"/>
  <c r="AF65" i="1"/>
  <c r="AG65" i="1"/>
  <c r="AH65" i="1"/>
  <c r="AJ65" i="1"/>
  <c r="AK65" i="1"/>
  <c r="AO65" i="1"/>
  <c r="BH65" i="1" s="1"/>
  <c r="AB65" i="1" s="1"/>
  <c r="AP65" i="1"/>
  <c r="J65" i="1" s="1"/>
  <c r="BD65" i="1"/>
  <c r="BF65" i="1"/>
  <c r="BJ65" i="1"/>
  <c r="K67" i="1"/>
  <c r="AL67" i="1" s="1"/>
  <c r="Z67" i="1"/>
  <c r="AD67" i="1"/>
  <c r="AE67" i="1"/>
  <c r="AF67" i="1"/>
  <c r="AG67" i="1"/>
  <c r="AH67" i="1"/>
  <c r="AJ67" i="1"/>
  <c r="AK67" i="1"/>
  <c r="AT64" i="1" s="1"/>
  <c r="AO67" i="1"/>
  <c r="I67" i="1" s="1"/>
  <c r="AP67" i="1"/>
  <c r="J67" i="1" s="1"/>
  <c r="BD67" i="1"/>
  <c r="BF67" i="1"/>
  <c r="BJ67" i="1"/>
  <c r="K70" i="1"/>
  <c r="Z70" i="1"/>
  <c r="AD70" i="1"/>
  <c r="AE70" i="1"/>
  <c r="AF70" i="1"/>
  <c r="AG70" i="1"/>
  <c r="AH70" i="1"/>
  <c r="AJ70" i="1"/>
  <c r="AK70" i="1"/>
  <c r="AO70" i="1"/>
  <c r="AP70" i="1"/>
  <c r="BD70" i="1"/>
  <c r="BF70" i="1"/>
  <c r="BJ70" i="1"/>
  <c r="K72" i="1"/>
  <c r="AL72" i="1" s="1"/>
  <c r="Z72" i="1"/>
  <c r="AD72" i="1"/>
  <c r="AE72" i="1"/>
  <c r="AF72" i="1"/>
  <c r="AG72" i="1"/>
  <c r="AH72" i="1"/>
  <c r="AJ72" i="1"/>
  <c r="AK72" i="1"/>
  <c r="AO72" i="1"/>
  <c r="I72" i="1" s="1"/>
  <c r="AP72" i="1"/>
  <c r="AX72" i="1" s="1"/>
  <c r="BD72" i="1"/>
  <c r="BF72" i="1"/>
  <c r="BH72" i="1"/>
  <c r="AB72" i="1" s="1"/>
  <c r="BJ72" i="1"/>
  <c r="K74" i="1"/>
  <c r="AL74" i="1" s="1"/>
  <c r="Z74" i="1"/>
  <c r="AD74" i="1"/>
  <c r="AE74" i="1"/>
  <c r="AF74" i="1"/>
  <c r="AG74" i="1"/>
  <c r="AH74" i="1"/>
  <c r="AJ74" i="1"/>
  <c r="AK74" i="1"/>
  <c r="AO74" i="1"/>
  <c r="I74" i="1" s="1"/>
  <c r="AP74" i="1"/>
  <c r="BD74" i="1"/>
  <c r="BF74" i="1"/>
  <c r="BJ74" i="1"/>
  <c r="K76" i="1"/>
  <c r="AL76" i="1" s="1"/>
  <c r="Z76" i="1"/>
  <c r="AD76" i="1"/>
  <c r="AE76" i="1"/>
  <c r="AF76" i="1"/>
  <c r="AG76" i="1"/>
  <c r="AH76" i="1"/>
  <c r="AJ76" i="1"/>
  <c r="AK76" i="1"/>
  <c r="AO76" i="1"/>
  <c r="BH76" i="1" s="1"/>
  <c r="AB76" i="1" s="1"/>
  <c r="AP76" i="1"/>
  <c r="BI76" i="1" s="1"/>
  <c r="AC76" i="1" s="1"/>
  <c r="BD76" i="1"/>
  <c r="BF76" i="1"/>
  <c r="BJ76" i="1"/>
  <c r="K78" i="1"/>
  <c r="AL78" i="1" s="1"/>
  <c r="Z78" i="1"/>
  <c r="AD78" i="1"/>
  <c r="AE78" i="1"/>
  <c r="AF78" i="1"/>
  <c r="AG78" i="1"/>
  <c r="AH78" i="1"/>
  <c r="AJ78" i="1"/>
  <c r="AK78" i="1"/>
  <c r="AO78" i="1"/>
  <c r="AP78" i="1"/>
  <c r="BD78" i="1"/>
  <c r="BF78" i="1"/>
  <c r="BH78" i="1"/>
  <c r="AB78" i="1" s="1"/>
  <c r="BJ78" i="1"/>
  <c r="K83" i="1"/>
  <c r="AL83" i="1" s="1"/>
  <c r="Z83" i="1"/>
  <c r="AD83" i="1"/>
  <c r="AE83" i="1"/>
  <c r="AF83" i="1"/>
  <c r="AG83" i="1"/>
  <c r="AH83" i="1"/>
  <c r="AJ83" i="1"/>
  <c r="AK83" i="1"/>
  <c r="AO83" i="1"/>
  <c r="I83" i="1" s="1"/>
  <c r="AP83" i="1"/>
  <c r="AX83" i="1" s="1"/>
  <c r="BD83" i="1"/>
  <c r="BF83" i="1"/>
  <c r="BH83" i="1"/>
  <c r="AB83" i="1" s="1"/>
  <c r="BJ83" i="1"/>
  <c r="K98" i="1"/>
  <c r="AL98" i="1" s="1"/>
  <c r="Z98" i="1"/>
  <c r="AD98" i="1"/>
  <c r="AE98" i="1"/>
  <c r="AF98" i="1"/>
  <c r="AG98" i="1"/>
  <c r="AH98" i="1"/>
  <c r="AJ98" i="1"/>
  <c r="AK98" i="1"/>
  <c r="AO98" i="1"/>
  <c r="AW98" i="1" s="1"/>
  <c r="AP98" i="1"/>
  <c r="BD98" i="1"/>
  <c r="BF98" i="1"/>
  <c r="BH98" i="1"/>
  <c r="AB98" i="1" s="1"/>
  <c r="BJ98" i="1"/>
  <c r="K100" i="1"/>
  <c r="AL100" i="1" s="1"/>
  <c r="Z100" i="1"/>
  <c r="AD100" i="1"/>
  <c r="AE100" i="1"/>
  <c r="AF100" i="1"/>
  <c r="AG100" i="1"/>
  <c r="AH100" i="1"/>
  <c r="AJ100" i="1"/>
  <c r="AK100" i="1"/>
  <c r="AO100" i="1"/>
  <c r="AP100" i="1"/>
  <c r="BD100" i="1"/>
  <c r="BF100" i="1"/>
  <c r="BH100" i="1"/>
  <c r="AB100" i="1" s="1"/>
  <c r="BI100" i="1"/>
  <c r="AC100" i="1" s="1"/>
  <c r="BJ100" i="1"/>
  <c r="K102" i="1"/>
  <c r="AL102" i="1" s="1"/>
  <c r="Z102" i="1"/>
  <c r="AD102" i="1"/>
  <c r="AE102" i="1"/>
  <c r="AF102" i="1"/>
  <c r="AG102" i="1"/>
  <c r="AH102" i="1"/>
  <c r="AJ102" i="1"/>
  <c r="AK102" i="1"/>
  <c r="AO102" i="1"/>
  <c r="AP102" i="1"/>
  <c r="BI102" i="1" s="1"/>
  <c r="AC102" i="1" s="1"/>
  <c r="BD102" i="1"/>
  <c r="BF102" i="1"/>
  <c r="BJ102" i="1"/>
  <c r="K117" i="1"/>
  <c r="AL117" i="1" s="1"/>
  <c r="Z117" i="1"/>
  <c r="AD117" i="1"/>
  <c r="AE117" i="1"/>
  <c r="AF117" i="1"/>
  <c r="AG117" i="1"/>
  <c r="AH117" i="1"/>
  <c r="AJ117" i="1"/>
  <c r="AK117" i="1"/>
  <c r="AO117" i="1"/>
  <c r="AP117" i="1"/>
  <c r="J117" i="1" s="1"/>
  <c r="BD117" i="1"/>
  <c r="BF117" i="1"/>
  <c r="BJ117" i="1"/>
  <c r="K123" i="1"/>
  <c r="AL123" i="1" s="1"/>
  <c r="Z123" i="1"/>
  <c r="AD123" i="1"/>
  <c r="AE123" i="1"/>
  <c r="AF123" i="1"/>
  <c r="AG123" i="1"/>
  <c r="AH123" i="1"/>
  <c r="AJ123" i="1"/>
  <c r="AK123" i="1"/>
  <c r="AO123" i="1"/>
  <c r="AW123" i="1" s="1"/>
  <c r="AP123" i="1"/>
  <c r="AX123" i="1" s="1"/>
  <c r="BD123" i="1"/>
  <c r="BF123" i="1"/>
  <c r="BH123" i="1"/>
  <c r="AB123" i="1" s="1"/>
  <c r="BJ123" i="1"/>
  <c r="K126" i="1"/>
  <c r="AL126" i="1" s="1"/>
  <c r="Z126" i="1"/>
  <c r="AD126" i="1"/>
  <c r="AE126" i="1"/>
  <c r="AF126" i="1"/>
  <c r="AG126" i="1"/>
  <c r="AH126" i="1"/>
  <c r="AJ126" i="1"/>
  <c r="AK126" i="1"/>
  <c r="AO126" i="1"/>
  <c r="AW126" i="1" s="1"/>
  <c r="AP126" i="1"/>
  <c r="AX126" i="1" s="1"/>
  <c r="BD126" i="1"/>
  <c r="BF126" i="1"/>
  <c r="BJ126" i="1"/>
  <c r="K141" i="1"/>
  <c r="AL141" i="1" s="1"/>
  <c r="Z141" i="1"/>
  <c r="AD141" i="1"/>
  <c r="AE141" i="1"/>
  <c r="AF141" i="1"/>
  <c r="AG141" i="1"/>
  <c r="AH141" i="1"/>
  <c r="AJ141" i="1"/>
  <c r="AK141" i="1"/>
  <c r="AO141" i="1"/>
  <c r="BH141" i="1" s="1"/>
  <c r="AB141" i="1" s="1"/>
  <c r="AP141" i="1"/>
  <c r="J141" i="1" s="1"/>
  <c r="BD141" i="1"/>
  <c r="BF141" i="1"/>
  <c r="BJ141" i="1"/>
  <c r="K143" i="1"/>
  <c r="AL143" i="1" s="1"/>
  <c r="Z143" i="1"/>
  <c r="AD143" i="1"/>
  <c r="AE143" i="1"/>
  <c r="AF143" i="1"/>
  <c r="AG143" i="1"/>
  <c r="AH143" i="1"/>
  <c r="AJ143" i="1"/>
  <c r="AK143" i="1"/>
  <c r="AO143" i="1"/>
  <c r="I143" i="1" s="1"/>
  <c r="AP143" i="1"/>
  <c r="BI143" i="1" s="1"/>
  <c r="AC143" i="1" s="1"/>
  <c r="BD143" i="1"/>
  <c r="BF143" i="1"/>
  <c r="BJ143" i="1"/>
  <c r="K145" i="1"/>
  <c r="AL145" i="1" s="1"/>
  <c r="Z145" i="1"/>
  <c r="AD145" i="1"/>
  <c r="AE145" i="1"/>
  <c r="AF145" i="1"/>
  <c r="AG145" i="1"/>
  <c r="AH145" i="1"/>
  <c r="AJ145" i="1"/>
  <c r="AK145" i="1"/>
  <c r="AO145" i="1"/>
  <c r="AP145" i="1"/>
  <c r="BD145" i="1"/>
  <c r="BF145" i="1"/>
  <c r="BJ145" i="1"/>
  <c r="K160" i="1"/>
  <c r="AL160" i="1" s="1"/>
  <c r="Z160" i="1"/>
  <c r="AD160" i="1"/>
  <c r="AE160" i="1"/>
  <c r="AF160" i="1"/>
  <c r="AG160" i="1"/>
  <c r="AH160" i="1"/>
  <c r="AJ160" i="1"/>
  <c r="AK160" i="1"/>
  <c r="AO160" i="1"/>
  <c r="AP160" i="1"/>
  <c r="J160" i="1" s="1"/>
  <c r="BD160" i="1"/>
  <c r="BF160" i="1"/>
  <c r="BJ160" i="1"/>
  <c r="K163" i="1"/>
  <c r="AL163" i="1" s="1"/>
  <c r="Z163" i="1"/>
  <c r="AD163" i="1"/>
  <c r="AE163" i="1"/>
  <c r="AF163" i="1"/>
  <c r="AG163" i="1"/>
  <c r="AH163" i="1"/>
  <c r="AJ163" i="1"/>
  <c r="AK163" i="1"/>
  <c r="AO163" i="1"/>
  <c r="AW163" i="1" s="1"/>
  <c r="AP163" i="1"/>
  <c r="AX163" i="1" s="1"/>
  <c r="BD163" i="1"/>
  <c r="BF163" i="1"/>
  <c r="BJ163" i="1"/>
  <c r="K168" i="1"/>
  <c r="AL168" i="1" s="1"/>
  <c r="Z168" i="1"/>
  <c r="AD168" i="1"/>
  <c r="AE168" i="1"/>
  <c r="AF168" i="1"/>
  <c r="AG168" i="1"/>
  <c r="AH168" i="1"/>
  <c r="AJ168" i="1"/>
  <c r="AK168" i="1"/>
  <c r="AO168" i="1"/>
  <c r="AW168" i="1" s="1"/>
  <c r="AP168" i="1"/>
  <c r="BD168" i="1"/>
  <c r="BF168" i="1"/>
  <c r="BH168" i="1"/>
  <c r="AB168" i="1" s="1"/>
  <c r="BJ168" i="1"/>
  <c r="K173" i="1"/>
  <c r="AL173" i="1" s="1"/>
  <c r="Z173" i="1"/>
  <c r="AD173" i="1"/>
  <c r="AE173" i="1"/>
  <c r="AF173" i="1"/>
  <c r="AG173" i="1"/>
  <c r="AH173" i="1"/>
  <c r="AJ173" i="1"/>
  <c r="AK173" i="1"/>
  <c r="AO173" i="1"/>
  <c r="I173" i="1" s="1"/>
  <c r="AP173" i="1"/>
  <c r="BD173" i="1"/>
  <c r="BF173" i="1"/>
  <c r="BH173" i="1"/>
  <c r="AB173" i="1" s="1"/>
  <c r="BJ173" i="1"/>
  <c r="K177" i="1"/>
  <c r="AL177" i="1" s="1"/>
  <c r="Z177" i="1"/>
  <c r="AD177" i="1"/>
  <c r="AE177" i="1"/>
  <c r="AF177" i="1"/>
  <c r="AG177" i="1"/>
  <c r="AH177" i="1"/>
  <c r="AJ177" i="1"/>
  <c r="AK177" i="1"/>
  <c r="AO177" i="1"/>
  <c r="AP177" i="1"/>
  <c r="AX177" i="1" s="1"/>
  <c r="BD177" i="1"/>
  <c r="BF177" i="1"/>
  <c r="BJ177" i="1"/>
  <c r="K179" i="1"/>
  <c r="AL179" i="1" s="1"/>
  <c r="Z179" i="1"/>
  <c r="AD179" i="1"/>
  <c r="AE179" i="1"/>
  <c r="AF179" i="1"/>
  <c r="AG179" i="1"/>
  <c r="AH179" i="1"/>
  <c r="AJ179" i="1"/>
  <c r="AK179" i="1"/>
  <c r="AO179" i="1"/>
  <c r="I179" i="1" s="1"/>
  <c r="AP179" i="1"/>
  <c r="BD179" i="1"/>
  <c r="BF179" i="1"/>
  <c r="BJ179" i="1"/>
  <c r="K183" i="1"/>
  <c r="K182" i="1" s="1"/>
  <c r="Z183" i="1"/>
  <c r="AD183" i="1"/>
  <c r="AE183" i="1"/>
  <c r="AF183" i="1"/>
  <c r="AG183" i="1"/>
  <c r="AH183" i="1"/>
  <c r="AJ183" i="1"/>
  <c r="AS182" i="1" s="1"/>
  <c r="AK183" i="1"/>
  <c r="AT182" i="1" s="1"/>
  <c r="AO183" i="1"/>
  <c r="I183" i="1" s="1"/>
  <c r="I182" i="1" s="1"/>
  <c r="AP183" i="1"/>
  <c r="J183" i="1" s="1"/>
  <c r="J182" i="1" s="1"/>
  <c r="AW183" i="1"/>
  <c r="BD183" i="1"/>
  <c r="BF183" i="1"/>
  <c r="BH183" i="1"/>
  <c r="AB183" i="1" s="1"/>
  <c r="BJ183" i="1"/>
  <c r="K187" i="1"/>
  <c r="AL187" i="1" s="1"/>
  <c r="Z187" i="1"/>
  <c r="AB187" i="1"/>
  <c r="AC187" i="1"/>
  <c r="AF187" i="1"/>
  <c r="AG187" i="1"/>
  <c r="AH187" i="1"/>
  <c r="AJ187" i="1"/>
  <c r="AK187" i="1"/>
  <c r="AO187" i="1"/>
  <c r="I187" i="1" s="1"/>
  <c r="AP187" i="1"/>
  <c r="AW187" i="1"/>
  <c r="BD187" i="1"/>
  <c r="BF187" i="1"/>
  <c r="BJ187" i="1"/>
  <c r="K192" i="1"/>
  <c r="AL192" i="1" s="1"/>
  <c r="Z192" i="1"/>
  <c r="AB192" i="1"/>
  <c r="AC192" i="1"/>
  <c r="AF192" i="1"/>
  <c r="AG192" i="1"/>
  <c r="AH192" i="1"/>
  <c r="AJ192" i="1"/>
  <c r="AK192" i="1"/>
  <c r="AO192" i="1"/>
  <c r="I192" i="1" s="1"/>
  <c r="AP192" i="1"/>
  <c r="J192" i="1" s="1"/>
  <c r="AW192" i="1"/>
  <c r="AX192" i="1"/>
  <c r="BD192" i="1"/>
  <c r="BF192" i="1"/>
  <c r="BH192" i="1"/>
  <c r="AD192" i="1" s="1"/>
  <c r="BI192" i="1"/>
  <c r="AE192" i="1" s="1"/>
  <c r="BJ192" i="1"/>
  <c r="K194" i="1"/>
  <c r="AL194" i="1" s="1"/>
  <c r="Z194" i="1"/>
  <c r="AB194" i="1"/>
  <c r="AC194" i="1"/>
  <c r="AF194" i="1"/>
  <c r="AG194" i="1"/>
  <c r="AH194" i="1"/>
  <c r="AJ194" i="1"/>
  <c r="AK194" i="1"/>
  <c r="AO194" i="1"/>
  <c r="AW194" i="1" s="1"/>
  <c r="AP194" i="1"/>
  <c r="AX194" i="1" s="1"/>
  <c r="BD194" i="1"/>
  <c r="BF194" i="1"/>
  <c r="BJ194" i="1"/>
  <c r="K196" i="1"/>
  <c r="AL196" i="1" s="1"/>
  <c r="Z196" i="1"/>
  <c r="AB196" i="1"/>
  <c r="AC196" i="1"/>
  <c r="AF196" i="1"/>
  <c r="AG196" i="1"/>
  <c r="AH196" i="1"/>
  <c r="AJ196" i="1"/>
  <c r="AK196" i="1"/>
  <c r="AO196" i="1"/>
  <c r="AW196" i="1" s="1"/>
  <c r="AP196" i="1"/>
  <c r="BD196" i="1"/>
  <c r="BF196" i="1"/>
  <c r="BH196" i="1"/>
  <c r="AD196" i="1" s="1"/>
  <c r="BJ196" i="1"/>
  <c r="K198" i="1"/>
  <c r="AL198" i="1" s="1"/>
  <c r="Z198" i="1"/>
  <c r="AB198" i="1"/>
  <c r="AC198" i="1"/>
  <c r="AF198" i="1"/>
  <c r="AG198" i="1"/>
  <c r="AH198" i="1"/>
  <c r="AJ198" i="1"/>
  <c r="AK198" i="1"/>
  <c r="AO198" i="1"/>
  <c r="I198" i="1" s="1"/>
  <c r="AP198" i="1"/>
  <c r="J198" i="1" s="1"/>
  <c r="AX198" i="1"/>
  <c r="BD198" i="1"/>
  <c r="BF198" i="1"/>
  <c r="BI198" i="1"/>
  <c r="AE198" i="1" s="1"/>
  <c r="BJ198" i="1"/>
  <c r="K200" i="1"/>
  <c r="AL200" i="1" s="1"/>
  <c r="Z200" i="1"/>
  <c r="AB200" i="1"/>
  <c r="AC200" i="1"/>
  <c r="AF200" i="1"/>
  <c r="AG200" i="1"/>
  <c r="AH200" i="1"/>
  <c r="AJ200" i="1"/>
  <c r="AK200" i="1"/>
  <c r="AO200" i="1"/>
  <c r="BH200" i="1" s="1"/>
  <c r="AD200" i="1" s="1"/>
  <c r="AP200" i="1"/>
  <c r="BD200" i="1"/>
  <c r="BF200" i="1"/>
  <c r="BJ200" i="1"/>
  <c r="K202" i="1"/>
  <c r="AL202" i="1" s="1"/>
  <c r="Z202" i="1"/>
  <c r="AB202" i="1"/>
  <c r="AC202" i="1"/>
  <c r="AF202" i="1"/>
  <c r="AG202" i="1"/>
  <c r="AH202" i="1"/>
  <c r="AJ202" i="1"/>
  <c r="AK202" i="1"/>
  <c r="AO202" i="1"/>
  <c r="I202" i="1" s="1"/>
  <c r="AP202" i="1"/>
  <c r="AX202" i="1" s="1"/>
  <c r="BD202" i="1"/>
  <c r="BF202" i="1"/>
  <c r="BJ202" i="1"/>
  <c r="K204" i="1"/>
  <c r="AL204" i="1" s="1"/>
  <c r="Z204" i="1"/>
  <c r="AB204" i="1"/>
  <c r="AC204" i="1"/>
  <c r="AF204" i="1"/>
  <c r="AG204" i="1"/>
  <c r="AH204" i="1"/>
  <c r="AJ204" i="1"/>
  <c r="AK204" i="1"/>
  <c r="AO204" i="1"/>
  <c r="AW204" i="1" s="1"/>
  <c r="AP204" i="1"/>
  <c r="BD204" i="1"/>
  <c r="BF204" i="1"/>
  <c r="BH204" i="1"/>
  <c r="AD204" i="1" s="1"/>
  <c r="BJ204" i="1"/>
  <c r="K206" i="1"/>
  <c r="AL206" i="1" s="1"/>
  <c r="Z206" i="1"/>
  <c r="AB206" i="1"/>
  <c r="AC206" i="1"/>
  <c r="AF206" i="1"/>
  <c r="AG206" i="1"/>
  <c r="AH206" i="1"/>
  <c r="AJ206" i="1"/>
  <c r="AK206" i="1"/>
  <c r="AO206" i="1"/>
  <c r="AP206" i="1"/>
  <c r="J206" i="1" s="1"/>
  <c r="BD206" i="1"/>
  <c r="BF206" i="1"/>
  <c r="BJ206" i="1"/>
  <c r="K208" i="1"/>
  <c r="AL208" i="1" s="1"/>
  <c r="Z208" i="1"/>
  <c r="AB208" i="1"/>
  <c r="AC208" i="1"/>
  <c r="AF208" i="1"/>
  <c r="AG208" i="1"/>
  <c r="AH208" i="1"/>
  <c r="AJ208" i="1"/>
  <c r="AK208" i="1"/>
  <c r="AO208" i="1"/>
  <c r="AP208" i="1"/>
  <c r="J208" i="1" s="1"/>
  <c r="BD208" i="1"/>
  <c r="BF208" i="1"/>
  <c r="BI208" i="1"/>
  <c r="AE208" i="1" s="1"/>
  <c r="BJ208" i="1"/>
  <c r="K210" i="1"/>
  <c r="AL210" i="1" s="1"/>
  <c r="Z210" i="1"/>
  <c r="AB210" i="1"/>
  <c r="AC210" i="1"/>
  <c r="AF210" i="1"/>
  <c r="AG210" i="1"/>
  <c r="AH210" i="1"/>
  <c r="AJ210" i="1"/>
  <c r="AK210" i="1"/>
  <c r="AO210" i="1"/>
  <c r="BH210" i="1" s="1"/>
  <c r="AD210" i="1" s="1"/>
  <c r="AP210" i="1"/>
  <c r="BD210" i="1"/>
  <c r="BF210" i="1"/>
  <c r="BJ210" i="1"/>
  <c r="K212" i="1"/>
  <c r="AL212" i="1" s="1"/>
  <c r="Z212" i="1"/>
  <c r="AB212" i="1"/>
  <c r="AC212" i="1"/>
  <c r="AF212" i="1"/>
  <c r="AG212" i="1"/>
  <c r="AH212" i="1"/>
  <c r="AJ212" i="1"/>
  <c r="AK212" i="1"/>
  <c r="AO212" i="1"/>
  <c r="AW212" i="1" s="1"/>
  <c r="AP212" i="1"/>
  <c r="BD212" i="1"/>
  <c r="BF212" i="1"/>
  <c r="BH212" i="1"/>
  <c r="AD212" i="1" s="1"/>
  <c r="BJ212" i="1"/>
  <c r="K214" i="1"/>
  <c r="AL214" i="1" s="1"/>
  <c r="Z214" i="1"/>
  <c r="AB214" i="1"/>
  <c r="AC214" i="1"/>
  <c r="AF214" i="1"/>
  <c r="AG214" i="1"/>
  <c r="AH214" i="1"/>
  <c r="AJ214" i="1"/>
  <c r="AK214" i="1"/>
  <c r="AO214" i="1"/>
  <c r="AP214" i="1"/>
  <c r="J214" i="1" s="1"/>
  <c r="BD214" i="1"/>
  <c r="BF214" i="1"/>
  <c r="BJ214" i="1"/>
  <c r="K216" i="1"/>
  <c r="AL216" i="1" s="1"/>
  <c r="Z216" i="1"/>
  <c r="AB216" i="1"/>
  <c r="AC216" i="1"/>
  <c r="AF216" i="1"/>
  <c r="AG216" i="1"/>
  <c r="AH216" i="1"/>
  <c r="AJ216" i="1"/>
  <c r="AK216" i="1"/>
  <c r="AO216" i="1"/>
  <c r="I216" i="1" s="1"/>
  <c r="AP216" i="1"/>
  <c r="J216" i="1" s="1"/>
  <c r="AW216" i="1"/>
  <c r="BD216" i="1"/>
  <c r="BF216" i="1"/>
  <c r="BJ216" i="1"/>
  <c r="K218" i="1"/>
  <c r="AL218" i="1" s="1"/>
  <c r="Z218" i="1"/>
  <c r="AB218" i="1"/>
  <c r="AC218" i="1"/>
  <c r="AF218" i="1"/>
  <c r="AG218" i="1"/>
  <c r="AH218" i="1"/>
  <c r="AJ218" i="1"/>
  <c r="AK218" i="1"/>
  <c r="AO218" i="1"/>
  <c r="BH218" i="1" s="1"/>
  <c r="AD218" i="1" s="1"/>
  <c r="AP218" i="1"/>
  <c r="AX218" i="1" s="1"/>
  <c r="BD218" i="1"/>
  <c r="BF218" i="1"/>
  <c r="BJ218" i="1"/>
  <c r="K220" i="1"/>
  <c r="AL220" i="1" s="1"/>
  <c r="AB220" i="1"/>
  <c r="AC220" i="1"/>
  <c r="AD220" i="1"/>
  <c r="AE220" i="1"/>
  <c r="AF220" i="1"/>
  <c r="AG220" i="1"/>
  <c r="AH220" i="1"/>
  <c r="AJ220" i="1"/>
  <c r="AK220" i="1"/>
  <c r="AO220" i="1"/>
  <c r="I220" i="1" s="1"/>
  <c r="AP220" i="1"/>
  <c r="BD220" i="1"/>
  <c r="BF220" i="1"/>
  <c r="BJ220" i="1"/>
  <c r="Z220" i="1" s="1"/>
  <c r="K223" i="1"/>
  <c r="AL223" i="1" s="1"/>
  <c r="Z223" i="1"/>
  <c r="AB223" i="1"/>
  <c r="AC223" i="1"/>
  <c r="AF223" i="1"/>
  <c r="AG223" i="1"/>
  <c r="AH223" i="1"/>
  <c r="AJ223" i="1"/>
  <c r="AK223" i="1"/>
  <c r="AO223" i="1"/>
  <c r="I223" i="1" s="1"/>
  <c r="AP223" i="1"/>
  <c r="BD223" i="1"/>
  <c r="BF223" i="1"/>
  <c r="BJ223" i="1"/>
  <c r="K225" i="1"/>
  <c r="AL225" i="1" s="1"/>
  <c r="Z225" i="1"/>
  <c r="AB225" i="1"/>
  <c r="AC225" i="1"/>
  <c r="AF225" i="1"/>
  <c r="AG225" i="1"/>
  <c r="AH225" i="1"/>
  <c r="AJ225" i="1"/>
  <c r="AK225" i="1"/>
  <c r="AO225" i="1"/>
  <c r="BH225" i="1" s="1"/>
  <c r="AD225" i="1" s="1"/>
  <c r="AP225" i="1"/>
  <c r="BD225" i="1"/>
  <c r="BF225" i="1"/>
  <c r="BI225" i="1"/>
  <c r="AE225" i="1" s="1"/>
  <c r="BJ225" i="1"/>
  <c r="K229" i="1"/>
  <c r="AL229" i="1" s="1"/>
  <c r="Z229" i="1"/>
  <c r="AB229" i="1"/>
  <c r="AC229" i="1"/>
  <c r="AF229" i="1"/>
  <c r="AG229" i="1"/>
  <c r="AH229" i="1"/>
  <c r="AJ229" i="1"/>
  <c r="AK229" i="1"/>
  <c r="AO229" i="1"/>
  <c r="BH229" i="1" s="1"/>
  <c r="AD229" i="1" s="1"/>
  <c r="AP229" i="1"/>
  <c r="BD229" i="1"/>
  <c r="BF229" i="1"/>
  <c r="BJ229" i="1"/>
  <c r="K234" i="1"/>
  <c r="AL234" i="1" s="1"/>
  <c r="AB234" i="1"/>
  <c r="AC234" i="1"/>
  <c r="AD234" i="1"/>
  <c r="AE234" i="1"/>
  <c r="AF234" i="1"/>
  <c r="AG234" i="1"/>
  <c r="AH234" i="1"/>
  <c r="AJ234" i="1"/>
  <c r="AK234" i="1"/>
  <c r="AO234" i="1"/>
  <c r="AP234" i="1"/>
  <c r="J234" i="1" s="1"/>
  <c r="BD234" i="1"/>
  <c r="BF234" i="1"/>
  <c r="BJ234" i="1"/>
  <c r="Z234" i="1" s="1"/>
  <c r="K237" i="1"/>
  <c r="Z237" i="1"/>
  <c r="AB237" i="1"/>
  <c r="AC237" i="1"/>
  <c r="AF237" i="1"/>
  <c r="AG237" i="1"/>
  <c r="AH237" i="1"/>
  <c r="AJ237" i="1"/>
  <c r="AS236" i="1" s="1"/>
  <c r="AK237" i="1"/>
  <c r="AT236" i="1" s="1"/>
  <c r="AO237" i="1"/>
  <c r="BH237" i="1" s="1"/>
  <c r="AD237" i="1" s="1"/>
  <c r="AP237" i="1"/>
  <c r="BD237" i="1"/>
  <c r="BF237" i="1"/>
  <c r="BJ237" i="1"/>
  <c r="K240" i="1"/>
  <c r="AL240" i="1" s="1"/>
  <c r="Z240" i="1"/>
  <c r="AB240" i="1"/>
  <c r="AC240" i="1"/>
  <c r="AF240" i="1"/>
  <c r="AG240" i="1"/>
  <c r="AH240" i="1"/>
  <c r="AJ240" i="1"/>
  <c r="AK240" i="1"/>
  <c r="AO240" i="1"/>
  <c r="AW240" i="1" s="1"/>
  <c r="AP240" i="1"/>
  <c r="BD240" i="1"/>
  <c r="BF240" i="1"/>
  <c r="BJ240" i="1"/>
  <c r="K242" i="1"/>
  <c r="Z242" i="1"/>
  <c r="AB242" i="1"/>
  <c r="AC242" i="1"/>
  <c r="AF242" i="1"/>
  <c r="AG242" i="1"/>
  <c r="AH242" i="1"/>
  <c r="AJ242" i="1"/>
  <c r="AK242" i="1"/>
  <c r="AO242" i="1"/>
  <c r="AP242" i="1"/>
  <c r="BD242" i="1"/>
  <c r="BF242" i="1"/>
  <c r="BH242" i="1"/>
  <c r="AD242" i="1" s="1"/>
  <c r="BJ242" i="1"/>
  <c r="K244" i="1"/>
  <c r="AL244" i="1" s="1"/>
  <c r="Z244" i="1"/>
  <c r="AB244" i="1"/>
  <c r="AC244" i="1"/>
  <c r="AF244" i="1"/>
  <c r="AG244" i="1"/>
  <c r="AH244" i="1"/>
  <c r="AJ244" i="1"/>
  <c r="AK244" i="1"/>
  <c r="AO244" i="1"/>
  <c r="I244" i="1" s="1"/>
  <c r="AP244" i="1"/>
  <c r="J244" i="1" s="1"/>
  <c r="BD244" i="1"/>
  <c r="BF244" i="1"/>
  <c r="BJ244" i="1"/>
  <c r="K246" i="1"/>
  <c r="AL246" i="1" s="1"/>
  <c r="Z246" i="1"/>
  <c r="AB246" i="1"/>
  <c r="AC246" i="1"/>
  <c r="AF246" i="1"/>
  <c r="AG246" i="1"/>
  <c r="AH246" i="1"/>
  <c r="AJ246" i="1"/>
  <c r="AK246" i="1"/>
  <c r="AO246" i="1"/>
  <c r="AP246" i="1"/>
  <c r="J246" i="1" s="1"/>
  <c r="BD246" i="1"/>
  <c r="BF246" i="1"/>
  <c r="BJ246" i="1"/>
  <c r="I248" i="1"/>
  <c r="K248" i="1"/>
  <c r="AL248" i="1" s="1"/>
  <c r="Z248" i="1"/>
  <c r="AB248" i="1"/>
  <c r="AC248" i="1"/>
  <c r="AF248" i="1"/>
  <c r="AG248" i="1"/>
  <c r="AH248" i="1"/>
  <c r="AJ248" i="1"/>
  <c r="AK248" i="1"/>
  <c r="AO248" i="1"/>
  <c r="AW248" i="1" s="1"/>
  <c r="AP248" i="1"/>
  <c r="BI248" i="1" s="1"/>
  <c r="AE248" i="1" s="1"/>
  <c r="BD248" i="1"/>
  <c r="BF248" i="1"/>
  <c r="BH248" i="1"/>
  <c r="AD248" i="1" s="1"/>
  <c r="BJ248" i="1"/>
  <c r="K250" i="1"/>
  <c r="AL250" i="1" s="1"/>
  <c r="AB250" i="1"/>
  <c r="AC250" i="1"/>
  <c r="AD250" i="1"/>
  <c r="AE250" i="1"/>
  <c r="AF250" i="1"/>
  <c r="AG250" i="1"/>
  <c r="AH250" i="1"/>
  <c r="AJ250" i="1"/>
  <c r="AK250" i="1"/>
  <c r="AO250" i="1"/>
  <c r="AP250" i="1"/>
  <c r="J250" i="1" s="1"/>
  <c r="BD250" i="1"/>
  <c r="BF250" i="1"/>
  <c r="BH250" i="1"/>
  <c r="BJ250" i="1"/>
  <c r="Z250" i="1" s="1"/>
  <c r="K253" i="1"/>
  <c r="AL253" i="1" s="1"/>
  <c r="Z253" i="1"/>
  <c r="AB253" i="1"/>
  <c r="AC253" i="1"/>
  <c r="AF253" i="1"/>
  <c r="AG253" i="1"/>
  <c r="AH253" i="1"/>
  <c r="AJ253" i="1"/>
  <c r="AK253" i="1"/>
  <c r="AO253" i="1"/>
  <c r="I253" i="1" s="1"/>
  <c r="AP253" i="1"/>
  <c r="AW253" i="1"/>
  <c r="BD253" i="1"/>
  <c r="BF253" i="1"/>
  <c r="BJ253" i="1"/>
  <c r="K255" i="1"/>
  <c r="AL255" i="1" s="1"/>
  <c r="Z255" i="1"/>
  <c r="AB255" i="1"/>
  <c r="AC255" i="1"/>
  <c r="AF255" i="1"/>
  <c r="AG255" i="1"/>
  <c r="AH255" i="1"/>
  <c r="AJ255" i="1"/>
  <c r="AK255" i="1"/>
  <c r="AO255" i="1"/>
  <c r="AP255" i="1"/>
  <c r="J255" i="1" s="1"/>
  <c r="BD255" i="1"/>
  <c r="BF255" i="1"/>
  <c r="BJ255" i="1"/>
  <c r="K258" i="1"/>
  <c r="AL258" i="1" s="1"/>
  <c r="Z258" i="1"/>
  <c r="AB258" i="1"/>
  <c r="AC258" i="1"/>
  <c r="AF258" i="1"/>
  <c r="AG258" i="1"/>
  <c r="AH258" i="1"/>
  <c r="AJ258" i="1"/>
  <c r="AK258" i="1"/>
  <c r="AO258" i="1"/>
  <c r="I258" i="1" s="1"/>
  <c r="AP258" i="1"/>
  <c r="BD258" i="1"/>
  <c r="BF258" i="1"/>
  <c r="BJ258" i="1"/>
  <c r="K260" i="1"/>
  <c r="AL260" i="1" s="1"/>
  <c r="AB260" i="1"/>
  <c r="AC260" i="1"/>
  <c r="AD260" i="1"/>
  <c r="AE260" i="1"/>
  <c r="AF260" i="1"/>
  <c r="AG260" i="1"/>
  <c r="AH260" i="1"/>
  <c r="AJ260" i="1"/>
  <c r="AK260" i="1"/>
  <c r="AO260" i="1"/>
  <c r="AW260" i="1" s="1"/>
  <c r="AP260" i="1"/>
  <c r="BD260" i="1"/>
  <c r="BF260" i="1"/>
  <c r="BH260" i="1"/>
  <c r="BJ260" i="1"/>
  <c r="Z260" i="1" s="1"/>
  <c r="K263" i="1"/>
  <c r="Z263" i="1"/>
  <c r="AB263" i="1"/>
  <c r="AC263" i="1"/>
  <c r="AF263" i="1"/>
  <c r="AG263" i="1"/>
  <c r="AH263" i="1"/>
  <c r="AJ263" i="1"/>
  <c r="AK263" i="1"/>
  <c r="AO263" i="1"/>
  <c r="I263" i="1" s="1"/>
  <c r="AP263" i="1"/>
  <c r="BD263" i="1"/>
  <c r="BF263" i="1"/>
  <c r="BJ263" i="1"/>
  <c r="K265" i="1"/>
  <c r="AL265" i="1" s="1"/>
  <c r="Z265" i="1"/>
  <c r="AB265" i="1"/>
  <c r="AC265" i="1"/>
  <c r="AF265" i="1"/>
  <c r="AG265" i="1"/>
  <c r="AH265" i="1"/>
  <c r="AJ265" i="1"/>
  <c r="AK265" i="1"/>
  <c r="AO265" i="1"/>
  <c r="I265" i="1" s="1"/>
  <c r="AP265" i="1"/>
  <c r="J265" i="1" s="1"/>
  <c r="BD265" i="1"/>
  <c r="BF265" i="1"/>
  <c r="BJ265" i="1"/>
  <c r="K267" i="1"/>
  <c r="AL267" i="1" s="1"/>
  <c r="AB267" i="1"/>
  <c r="AC267" i="1"/>
  <c r="AD267" i="1"/>
  <c r="AE267" i="1"/>
  <c r="AF267" i="1"/>
  <c r="AG267" i="1"/>
  <c r="AH267" i="1"/>
  <c r="AJ267" i="1"/>
  <c r="AK267" i="1"/>
  <c r="AO267" i="1"/>
  <c r="I267" i="1" s="1"/>
  <c r="AP267" i="1"/>
  <c r="BI267" i="1" s="1"/>
  <c r="BD267" i="1"/>
  <c r="BF267" i="1"/>
  <c r="BJ267" i="1"/>
  <c r="Z267" i="1" s="1"/>
  <c r="K270" i="1"/>
  <c r="AL270" i="1" s="1"/>
  <c r="Z270" i="1"/>
  <c r="AB270" i="1"/>
  <c r="AC270" i="1"/>
  <c r="AF270" i="1"/>
  <c r="AG270" i="1"/>
  <c r="AH270" i="1"/>
  <c r="AJ270" i="1"/>
  <c r="AK270" i="1"/>
  <c r="AO270" i="1"/>
  <c r="I270" i="1" s="1"/>
  <c r="AP270" i="1"/>
  <c r="BD270" i="1"/>
  <c r="BF270" i="1"/>
  <c r="BJ270" i="1"/>
  <c r="K278" i="1"/>
  <c r="AL278" i="1" s="1"/>
  <c r="Z278" i="1"/>
  <c r="AB278" i="1"/>
  <c r="AC278" i="1"/>
  <c r="AF278" i="1"/>
  <c r="AG278" i="1"/>
  <c r="AH278" i="1"/>
  <c r="AJ278" i="1"/>
  <c r="AK278" i="1"/>
  <c r="AO278" i="1"/>
  <c r="AW278" i="1" s="1"/>
  <c r="AP278" i="1"/>
  <c r="BD278" i="1"/>
  <c r="BF278" i="1"/>
  <c r="BI278" i="1"/>
  <c r="AE278" i="1" s="1"/>
  <c r="BJ278" i="1"/>
  <c r="K282" i="1"/>
  <c r="AL282" i="1" s="1"/>
  <c r="Z282" i="1"/>
  <c r="AB282" i="1"/>
  <c r="AC282" i="1"/>
  <c r="AF282" i="1"/>
  <c r="AG282" i="1"/>
  <c r="AH282" i="1"/>
  <c r="AJ282" i="1"/>
  <c r="AK282" i="1"/>
  <c r="AO282" i="1"/>
  <c r="AP282" i="1"/>
  <c r="J282" i="1" s="1"/>
  <c r="BD282" i="1"/>
  <c r="BF282" i="1"/>
  <c r="BH282" i="1"/>
  <c r="AD282" i="1" s="1"/>
  <c r="BJ282" i="1"/>
  <c r="K284" i="1"/>
  <c r="AL284" i="1" s="1"/>
  <c r="Z284" i="1"/>
  <c r="AB284" i="1"/>
  <c r="AC284" i="1"/>
  <c r="AF284" i="1"/>
  <c r="AG284" i="1"/>
  <c r="AH284" i="1"/>
  <c r="AJ284" i="1"/>
  <c r="AK284" i="1"/>
  <c r="AO284" i="1"/>
  <c r="I284" i="1" s="1"/>
  <c r="AP284" i="1"/>
  <c r="J284" i="1" s="1"/>
  <c r="BD284" i="1"/>
  <c r="BF284" i="1"/>
  <c r="BI284" i="1"/>
  <c r="AE284" i="1" s="1"/>
  <c r="BJ284" i="1"/>
  <c r="K293" i="1"/>
  <c r="AL293" i="1" s="1"/>
  <c r="Z293" i="1"/>
  <c r="AB293" i="1"/>
  <c r="AC293" i="1"/>
  <c r="AF293" i="1"/>
  <c r="AG293" i="1"/>
  <c r="AH293" i="1"/>
  <c r="AJ293" i="1"/>
  <c r="AK293" i="1"/>
  <c r="AO293" i="1"/>
  <c r="AP293" i="1"/>
  <c r="AX293" i="1" s="1"/>
  <c r="BD293" i="1"/>
  <c r="BF293" i="1"/>
  <c r="BJ293" i="1"/>
  <c r="K295" i="1"/>
  <c r="AL295" i="1" s="1"/>
  <c r="AB295" i="1"/>
  <c r="AC295" i="1"/>
  <c r="AD295" i="1"/>
  <c r="AE295" i="1"/>
  <c r="AF295" i="1"/>
  <c r="AG295" i="1"/>
  <c r="AH295" i="1"/>
  <c r="AJ295" i="1"/>
  <c r="AK295" i="1"/>
  <c r="AO295" i="1"/>
  <c r="BH295" i="1" s="1"/>
  <c r="AP295" i="1"/>
  <c r="BI295" i="1" s="1"/>
  <c r="BD295" i="1"/>
  <c r="BF295" i="1"/>
  <c r="BJ295" i="1"/>
  <c r="Z295" i="1" s="1"/>
  <c r="I298" i="1"/>
  <c r="I297" i="1" s="1"/>
  <c r="K298" i="1"/>
  <c r="Z298" i="1"/>
  <c r="AB298" i="1"/>
  <c r="AC298" i="1"/>
  <c r="AF298" i="1"/>
  <c r="AG298" i="1"/>
  <c r="AH298" i="1"/>
  <c r="AJ298" i="1"/>
  <c r="AS297" i="1" s="1"/>
  <c r="AK298" i="1"/>
  <c r="AT297" i="1" s="1"/>
  <c r="AO298" i="1"/>
  <c r="AP298" i="1"/>
  <c r="BD298" i="1"/>
  <c r="BF298" i="1"/>
  <c r="BJ298" i="1"/>
  <c r="K301" i="1"/>
  <c r="AL301" i="1" s="1"/>
  <c r="Z301" i="1"/>
  <c r="AB301" i="1"/>
  <c r="AC301" i="1"/>
  <c r="AF301" i="1"/>
  <c r="AG301" i="1"/>
  <c r="AH301" i="1"/>
  <c r="AJ301" i="1"/>
  <c r="AK301" i="1"/>
  <c r="AO301" i="1"/>
  <c r="I301" i="1" s="1"/>
  <c r="AP301" i="1"/>
  <c r="AX301" i="1" s="1"/>
  <c r="BD301" i="1"/>
  <c r="BF301" i="1"/>
  <c r="BI301" i="1"/>
  <c r="AE301" i="1" s="1"/>
  <c r="BJ301" i="1"/>
  <c r="K319" i="1"/>
  <c r="AL319" i="1" s="1"/>
  <c r="Z319" i="1"/>
  <c r="AB319" i="1"/>
  <c r="AC319" i="1"/>
  <c r="AF319" i="1"/>
  <c r="AG319" i="1"/>
  <c r="AH319" i="1"/>
  <c r="AJ319" i="1"/>
  <c r="AK319" i="1"/>
  <c r="AO319" i="1"/>
  <c r="I319" i="1" s="1"/>
  <c r="AP319" i="1"/>
  <c r="BD319" i="1"/>
  <c r="BF319" i="1"/>
  <c r="BJ319" i="1"/>
  <c r="K321" i="1"/>
  <c r="AL321" i="1" s="1"/>
  <c r="Z321" i="1"/>
  <c r="AB321" i="1"/>
  <c r="AC321" i="1"/>
  <c r="AF321" i="1"/>
  <c r="AG321" i="1"/>
  <c r="AH321" i="1"/>
  <c r="AJ321" i="1"/>
  <c r="AK321" i="1"/>
  <c r="AO321" i="1"/>
  <c r="AP321" i="1"/>
  <c r="BI321" i="1" s="1"/>
  <c r="AE321" i="1" s="1"/>
  <c r="BD321" i="1"/>
  <c r="BF321" i="1"/>
  <c r="BH321" i="1"/>
  <c r="AD321" i="1" s="1"/>
  <c r="BJ321" i="1"/>
  <c r="K323" i="1"/>
  <c r="AL323" i="1" s="1"/>
  <c r="Z323" i="1"/>
  <c r="AB323" i="1"/>
  <c r="AC323" i="1"/>
  <c r="AF323" i="1"/>
  <c r="AG323" i="1"/>
  <c r="AH323" i="1"/>
  <c r="AJ323" i="1"/>
  <c r="AK323" i="1"/>
  <c r="AO323" i="1"/>
  <c r="AP323" i="1"/>
  <c r="J323" i="1" s="1"/>
  <c r="BD323" i="1"/>
  <c r="BF323" i="1"/>
  <c r="BJ323" i="1"/>
  <c r="K325" i="1"/>
  <c r="AL325" i="1" s="1"/>
  <c r="Z325" i="1"/>
  <c r="AB325" i="1"/>
  <c r="AC325" i="1"/>
  <c r="AF325" i="1"/>
  <c r="AG325" i="1"/>
  <c r="AH325" i="1"/>
  <c r="AJ325" i="1"/>
  <c r="AK325" i="1"/>
  <c r="AO325" i="1"/>
  <c r="I325" i="1" s="1"/>
  <c r="AP325" i="1"/>
  <c r="AX325" i="1" s="1"/>
  <c r="BD325" i="1"/>
  <c r="BF325" i="1"/>
  <c r="BJ325" i="1"/>
  <c r="J327" i="1"/>
  <c r="K327" i="1"/>
  <c r="AL327" i="1" s="1"/>
  <c r="Z327" i="1"/>
  <c r="AB327" i="1"/>
  <c r="AC327" i="1"/>
  <c r="AF327" i="1"/>
  <c r="AG327" i="1"/>
  <c r="AH327" i="1"/>
  <c r="AJ327" i="1"/>
  <c r="AK327" i="1"/>
  <c r="AO327" i="1"/>
  <c r="AP327" i="1"/>
  <c r="AX327" i="1" s="1"/>
  <c r="BD327" i="1"/>
  <c r="BF327" i="1"/>
  <c r="BJ327" i="1"/>
  <c r="K329" i="1"/>
  <c r="AL329" i="1" s="1"/>
  <c r="Z329" i="1"/>
  <c r="AB329" i="1"/>
  <c r="AC329" i="1"/>
  <c r="AF329" i="1"/>
  <c r="AG329" i="1"/>
  <c r="AH329" i="1"/>
  <c r="AJ329" i="1"/>
  <c r="AK329" i="1"/>
  <c r="AO329" i="1"/>
  <c r="AW329" i="1" s="1"/>
  <c r="AP329" i="1"/>
  <c r="BI329" i="1" s="1"/>
  <c r="AE329" i="1" s="1"/>
  <c r="BD329" i="1"/>
  <c r="BF329" i="1"/>
  <c r="BH329" i="1"/>
  <c r="AD329" i="1" s="1"/>
  <c r="BJ329" i="1"/>
  <c r="K331" i="1"/>
  <c r="AL331" i="1" s="1"/>
  <c r="Z331" i="1"/>
  <c r="AB331" i="1"/>
  <c r="AC331" i="1"/>
  <c r="AF331" i="1"/>
  <c r="AG331" i="1"/>
  <c r="AH331" i="1"/>
  <c r="AJ331" i="1"/>
  <c r="AK331" i="1"/>
  <c r="AO331" i="1"/>
  <c r="BH331" i="1" s="1"/>
  <c r="AD331" i="1" s="1"/>
  <c r="AP331" i="1"/>
  <c r="BD331" i="1"/>
  <c r="BF331" i="1"/>
  <c r="BJ331" i="1"/>
  <c r="K333" i="1"/>
  <c r="AL333" i="1" s="1"/>
  <c r="Z333" i="1"/>
  <c r="AB333" i="1"/>
  <c r="AC333" i="1"/>
  <c r="AF333" i="1"/>
  <c r="AG333" i="1"/>
  <c r="AH333" i="1"/>
  <c r="AJ333" i="1"/>
  <c r="AK333" i="1"/>
  <c r="AO333" i="1"/>
  <c r="I333" i="1" s="1"/>
  <c r="AP333" i="1"/>
  <c r="J333" i="1" s="1"/>
  <c r="BD333" i="1"/>
  <c r="BF333" i="1"/>
  <c r="BJ333" i="1"/>
  <c r="K335" i="1"/>
  <c r="AL335" i="1" s="1"/>
  <c r="Z335" i="1"/>
  <c r="AB335" i="1"/>
  <c r="AC335" i="1"/>
  <c r="AF335" i="1"/>
  <c r="AG335" i="1"/>
  <c r="AH335" i="1"/>
  <c r="AJ335" i="1"/>
  <c r="AK335" i="1"/>
  <c r="AO335" i="1"/>
  <c r="I335" i="1" s="1"/>
  <c r="AP335" i="1"/>
  <c r="BD335" i="1"/>
  <c r="BF335" i="1"/>
  <c r="BJ335" i="1"/>
  <c r="K337" i="1"/>
  <c r="AL337" i="1" s="1"/>
  <c r="Z337" i="1"/>
  <c r="AB337" i="1"/>
  <c r="AC337" i="1"/>
  <c r="AF337" i="1"/>
  <c r="AG337" i="1"/>
  <c r="AH337" i="1"/>
  <c r="AJ337" i="1"/>
  <c r="AK337" i="1"/>
  <c r="AO337" i="1"/>
  <c r="I337" i="1" s="1"/>
  <c r="AP337" i="1"/>
  <c r="BI337" i="1" s="1"/>
  <c r="AE337" i="1" s="1"/>
  <c r="BD337" i="1"/>
  <c r="BF337" i="1"/>
  <c r="BH337" i="1"/>
  <c r="AD337" i="1" s="1"/>
  <c r="BJ337" i="1"/>
  <c r="K339" i="1"/>
  <c r="AL339" i="1" s="1"/>
  <c r="Z339" i="1"/>
  <c r="AB339" i="1"/>
  <c r="AC339" i="1"/>
  <c r="AF339" i="1"/>
  <c r="AG339" i="1"/>
  <c r="AH339" i="1"/>
  <c r="AJ339" i="1"/>
  <c r="AK339" i="1"/>
  <c r="AO339" i="1"/>
  <c r="AP339" i="1"/>
  <c r="J339" i="1" s="1"/>
  <c r="BD339" i="1"/>
  <c r="BF339" i="1"/>
  <c r="BH339" i="1"/>
  <c r="AD339" i="1" s="1"/>
  <c r="BJ339" i="1"/>
  <c r="K342" i="1"/>
  <c r="AL342" i="1" s="1"/>
  <c r="Z342" i="1"/>
  <c r="AB342" i="1"/>
  <c r="AC342" i="1"/>
  <c r="AF342" i="1"/>
  <c r="AG342" i="1"/>
  <c r="AH342" i="1"/>
  <c r="AJ342" i="1"/>
  <c r="AK342" i="1"/>
  <c r="AO342" i="1"/>
  <c r="I342" i="1" s="1"/>
  <c r="AP342" i="1"/>
  <c r="BI342" i="1" s="1"/>
  <c r="AE342" i="1" s="1"/>
  <c r="BD342" i="1"/>
  <c r="BF342" i="1"/>
  <c r="BJ342" i="1"/>
  <c r="K344" i="1"/>
  <c r="AL344" i="1" s="1"/>
  <c r="Z344" i="1"/>
  <c r="AB344" i="1"/>
  <c r="AC344" i="1"/>
  <c r="AF344" i="1"/>
  <c r="AG344" i="1"/>
  <c r="AH344" i="1"/>
  <c r="AJ344" i="1"/>
  <c r="AK344" i="1"/>
  <c r="AO344" i="1"/>
  <c r="I344" i="1" s="1"/>
  <c r="AP344" i="1"/>
  <c r="J344" i="1" s="1"/>
  <c r="BD344" i="1"/>
  <c r="BF344" i="1"/>
  <c r="BI344" i="1"/>
  <c r="AE344" i="1" s="1"/>
  <c r="BJ344" i="1"/>
  <c r="K346" i="1"/>
  <c r="Z346" i="1"/>
  <c r="AB346" i="1"/>
  <c r="AC346" i="1"/>
  <c r="AF346" i="1"/>
  <c r="AG346" i="1"/>
  <c r="AH346" i="1"/>
  <c r="AJ346" i="1"/>
  <c r="AK346" i="1"/>
  <c r="AL346" i="1"/>
  <c r="AO346" i="1"/>
  <c r="AP346" i="1"/>
  <c r="BI346" i="1" s="1"/>
  <c r="AE346" i="1" s="1"/>
  <c r="BD346" i="1"/>
  <c r="BF346" i="1"/>
  <c r="BH346" i="1"/>
  <c r="AD346" i="1" s="1"/>
  <c r="BJ346" i="1"/>
  <c r="K348" i="1"/>
  <c r="AL348" i="1" s="1"/>
  <c r="Z348" i="1"/>
  <c r="AB348" i="1"/>
  <c r="AC348" i="1"/>
  <c r="AF348" i="1"/>
  <c r="AG348" i="1"/>
  <c r="AH348" i="1"/>
  <c r="AJ348" i="1"/>
  <c r="AK348" i="1"/>
  <c r="AO348" i="1"/>
  <c r="AP348" i="1"/>
  <c r="J348" i="1" s="1"/>
  <c r="BD348" i="1"/>
  <c r="BF348" i="1"/>
  <c r="BJ348" i="1"/>
  <c r="K350" i="1"/>
  <c r="AL350" i="1" s="1"/>
  <c r="Z350" i="1"/>
  <c r="AB350" i="1"/>
  <c r="AC350" i="1"/>
  <c r="AF350" i="1"/>
  <c r="AG350" i="1"/>
  <c r="AH350" i="1"/>
  <c r="AJ350" i="1"/>
  <c r="AK350" i="1"/>
  <c r="AO350" i="1"/>
  <c r="I350" i="1" s="1"/>
  <c r="AP350" i="1"/>
  <c r="BD350" i="1"/>
  <c r="BF350" i="1"/>
  <c r="BH350" i="1"/>
  <c r="AD350" i="1" s="1"/>
  <c r="BJ350" i="1"/>
  <c r="K352" i="1"/>
  <c r="AL352" i="1" s="1"/>
  <c r="AB352" i="1"/>
  <c r="AC352" i="1"/>
  <c r="AD352" i="1"/>
  <c r="AE352" i="1"/>
  <c r="AF352" i="1"/>
  <c r="AG352" i="1"/>
  <c r="AH352" i="1"/>
  <c r="AJ352" i="1"/>
  <c r="AK352" i="1"/>
  <c r="AO352" i="1"/>
  <c r="I352" i="1" s="1"/>
  <c r="AP352" i="1"/>
  <c r="J352" i="1" s="1"/>
  <c r="BD352" i="1"/>
  <c r="BF352" i="1"/>
  <c r="BJ352" i="1"/>
  <c r="Z352" i="1" s="1"/>
  <c r="K355" i="1"/>
  <c r="Z355" i="1"/>
  <c r="AB355" i="1"/>
  <c r="AC355" i="1"/>
  <c r="AF355" i="1"/>
  <c r="AG355" i="1"/>
  <c r="AH355" i="1"/>
  <c r="AJ355" i="1"/>
  <c r="AK355" i="1"/>
  <c r="AO355" i="1"/>
  <c r="I355" i="1" s="1"/>
  <c r="AP355" i="1"/>
  <c r="J355" i="1" s="1"/>
  <c r="BD355" i="1"/>
  <c r="BF355" i="1"/>
  <c r="BJ355" i="1"/>
  <c r="K357" i="1"/>
  <c r="AL357" i="1" s="1"/>
  <c r="Z357" i="1"/>
  <c r="AB357" i="1"/>
  <c r="AC357" i="1"/>
  <c r="AF357" i="1"/>
  <c r="AG357" i="1"/>
  <c r="AH357" i="1"/>
  <c r="AJ357" i="1"/>
  <c r="AK357" i="1"/>
  <c r="AO357" i="1"/>
  <c r="I357" i="1" s="1"/>
  <c r="AP357" i="1"/>
  <c r="J357" i="1" s="1"/>
  <c r="BD357" i="1"/>
  <c r="BF357" i="1"/>
  <c r="BJ357" i="1"/>
  <c r="K360" i="1"/>
  <c r="AL360" i="1" s="1"/>
  <c r="AB360" i="1"/>
  <c r="AC360" i="1"/>
  <c r="AD360" i="1"/>
  <c r="AE360" i="1"/>
  <c r="AF360" i="1"/>
  <c r="AG360" i="1"/>
  <c r="AH360" i="1"/>
  <c r="AJ360" i="1"/>
  <c r="AK360" i="1"/>
  <c r="AO360" i="1"/>
  <c r="AP360" i="1"/>
  <c r="AX360" i="1" s="1"/>
  <c r="AW360" i="1"/>
  <c r="BC360" i="1" s="1"/>
  <c r="BD360" i="1"/>
  <c r="BF360" i="1"/>
  <c r="BJ360" i="1"/>
  <c r="Z360" i="1" s="1"/>
  <c r="J363" i="1"/>
  <c r="K363" i="1"/>
  <c r="Z363" i="1"/>
  <c r="AB363" i="1"/>
  <c r="AC363" i="1"/>
  <c r="AF363" i="1"/>
  <c r="AG363" i="1"/>
  <c r="AH363" i="1"/>
  <c r="AJ363" i="1"/>
  <c r="AK363" i="1"/>
  <c r="AO363" i="1"/>
  <c r="AP363" i="1"/>
  <c r="AX363" i="1"/>
  <c r="BD363" i="1"/>
  <c r="BF363" i="1"/>
  <c r="BI363" i="1"/>
  <c r="AE363" i="1" s="1"/>
  <c r="BJ363" i="1"/>
  <c r="K365" i="1"/>
  <c r="AL365" i="1" s="1"/>
  <c r="Z365" i="1"/>
  <c r="AB365" i="1"/>
  <c r="AC365" i="1"/>
  <c r="AF365" i="1"/>
  <c r="AG365" i="1"/>
  <c r="AH365" i="1"/>
  <c r="AJ365" i="1"/>
  <c r="AK365" i="1"/>
  <c r="AO365" i="1"/>
  <c r="BH365" i="1" s="1"/>
  <c r="AD365" i="1" s="1"/>
  <c r="AP365" i="1"/>
  <c r="AX365" i="1" s="1"/>
  <c r="BD365" i="1"/>
  <c r="BF365" i="1"/>
  <c r="BJ365" i="1"/>
  <c r="K376" i="1"/>
  <c r="AL376" i="1" s="1"/>
  <c r="AU375" i="1" s="1"/>
  <c r="Z376" i="1"/>
  <c r="AB376" i="1"/>
  <c r="AC376" i="1"/>
  <c r="AF376" i="1"/>
  <c r="AG376" i="1"/>
  <c r="AH376" i="1"/>
  <c r="AJ376" i="1"/>
  <c r="AS375" i="1" s="1"/>
  <c r="AK376" i="1"/>
  <c r="AT375" i="1" s="1"/>
  <c r="AO376" i="1"/>
  <c r="BH376" i="1" s="1"/>
  <c r="AD376" i="1" s="1"/>
  <c r="AP376" i="1"/>
  <c r="J376" i="1" s="1"/>
  <c r="J375" i="1" s="1"/>
  <c r="BD376" i="1"/>
  <c r="BF376" i="1"/>
  <c r="BJ376" i="1"/>
  <c r="K381" i="1"/>
  <c r="AL381" i="1" s="1"/>
  <c r="Z381" i="1"/>
  <c r="AD381" i="1"/>
  <c r="AE381" i="1"/>
  <c r="AF381" i="1"/>
  <c r="AG381" i="1"/>
  <c r="AH381" i="1"/>
  <c r="AJ381" i="1"/>
  <c r="AK381" i="1"/>
  <c r="AO381" i="1"/>
  <c r="I381" i="1" s="1"/>
  <c r="AP381" i="1"/>
  <c r="BD381" i="1"/>
  <c r="BF381" i="1"/>
  <c r="BJ381" i="1"/>
  <c r="K386" i="1"/>
  <c r="AL386" i="1" s="1"/>
  <c r="Z386" i="1"/>
  <c r="AD386" i="1"/>
  <c r="AE386" i="1"/>
  <c r="AF386" i="1"/>
  <c r="AG386" i="1"/>
  <c r="AH386" i="1"/>
  <c r="AJ386" i="1"/>
  <c r="AK386" i="1"/>
  <c r="AO386" i="1"/>
  <c r="I386" i="1" s="1"/>
  <c r="AP386" i="1"/>
  <c r="J386" i="1" s="1"/>
  <c r="AW386" i="1"/>
  <c r="BD386" i="1"/>
  <c r="BF386" i="1"/>
  <c r="BH386" i="1"/>
  <c r="AB386" i="1" s="1"/>
  <c r="BJ386" i="1"/>
  <c r="K388" i="1"/>
  <c r="Z388" i="1"/>
  <c r="AD388" i="1"/>
  <c r="AE388" i="1"/>
  <c r="AF388" i="1"/>
  <c r="AG388" i="1"/>
  <c r="AH388" i="1"/>
  <c r="AJ388" i="1"/>
  <c r="AK388" i="1"/>
  <c r="AO388" i="1"/>
  <c r="I388" i="1" s="1"/>
  <c r="AP388" i="1"/>
  <c r="BD388" i="1"/>
  <c r="BF388" i="1"/>
  <c r="BH388" i="1"/>
  <c r="AB388" i="1" s="1"/>
  <c r="BJ388" i="1"/>
  <c r="K390" i="1"/>
  <c r="AL390" i="1" s="1"/>
  <c r="Z390" i="1"/>
  <c r="AD390" i="1"/>
  <c r="AE390" i="1"/>
  <c r="AF390" i="1"/>
  <c r="AG390" i="1"/>
  <c r="AH390" i="1"/>
  <c r="AJ390" i="1"/>
  <c r="AK390" i="1"/>
  <c r="AO390" i="1"/>
  <c r="I390" i="1" s="1"/>
  <c r="AP390" i="1"/>
  <c r="J390" i="1" s="1"/>
  <c r="AW390" i="1"/>
  <c r="BD390" i="1"/>
  <c r="BF390" i="1"/>
  <c r="BH390" i="1"/>
  <c r="AB390" i="1" s="1"/>
  <c r="BJ390" i="1"/>
  <c r="J392" i="1"/>
  <c r="K392" i="1"/>
  <c r="AL392" i="1" s="1"/>
  <c r="Z392" i="1"/>
  <c r="AD392" i="1"/>
  <c r="AE392" i="1"/>
  <c r="AF392" i="1"/>
  <c r="AG392" i="1"/>
  <c r="AH392" i="1"/>
  <c r="AJ392" i="1"/>
  <c r="AK392" i="1"/>
  <c r="AO392" i="1"/>
  <c r="AP392" i="1"/>
  <c r="AX392" i="1"/>
  <c r="BD392" i="1"/>
  <c r="BF392" i="1"/>
  <c r="BI392" i="1"/>
  <c r="AC392" i="1" s="1"/>
  <c r="BJ392" i="1"/>
  <c r="K394" i="1"/>
  <c r="AL394" i="1" s="1"/>
  <c r="Z394" i="1"/>
  <c r="AD394" i="1"/>
  <c r="AE394" i="1"/>
  <c r="AF394" i="1"/>
  <c r="AG394" i="1"/>
  <c r="AH394" i="1"/>
  <c r="AJ394" i="1"/>
  <c r="AK394" i="1"/>
  <c r="AO394" i="1"/>
  <c r="BH394" i="1" s="1"/>
  <c r="AB394" i="1" s="1"/>
  <c r="AP394" i="1"/>
  <c r="J394" i="1" s="1"/>
  <c r="BD394" i="1"/>
  <c r="BF394" i="1"/>
  <c r="BI394" i="1"/>
  <c r="AC394" i="1" s="1"/>
  <c r="BJ394" i="1"/>
  <c r="K396" i="1"/>
  <c r="AL396" i="1" s="1"/>
  <c r="Z396" i="1"/>
  <c r="AD396" i="1"/>
  <c r="AE396" i="1"/>
  <c r="AF396" i="1"/>
  <c r="AG396" i="1"/>
  <c r="AH396" i="1"/>
  <c r="AJ396" i="1"/>
  <c r="AK396" i="1"/>
  <c r="AO396" i="1"/>
  <c r="I396" i="1" s="1"/>
  <c r="AP396" i="1"/>
  <c r="BD396" i="1"/>
  <c r="BF396" i="1"/>
  <c r="BH396" i="1"/>
  <c r="AB396" i="1" s="1"/>
  <c r="BJ396" i="1"/>
  <c r="K400" i="1"/>
  <c r="AL400" i="1" s="1"/>
  <c r="AB400" i="1"/>
  <c r="AC400" i="1"/>
  <c r="AD400" i="1"/>
  <c r="AE400" i="1"/>
  <c r="AF400" i="1"/>
  <c r="AG400" i="1"/>
  <c r="AH400" i="1"/>
  <c r="AJ400" i="1"/>
  <c r="AK400" i="1"/>
  <c r="AO400" i="1"/>
  <c r="I400" i="1" s="1"/>
  <c r="AP400" i="1"/>
  <c r="J400" i="1" s="1"/>
  <c r="BD400" i="1"/>
  <c r="BF400" i="1"/>
  <c r="BI400" i="1"/>
  <c r="BJ400" i="1"/>
  <c r="Z400" i="1" s="1"/>
  <c r="K403" i="1"/>
  <c r="Z403" i="1"/>
  <c r="AD403" i="1"/>
  <c r="AE403" i="1"/>
  <c r="AF403" i="1"/>
  <c r="AG403" i="1"/>
  <c r="AH403" i="1"/>
  <c r="AJ403" i="1"/>
  <c r="AK403" i="1"/>
  <c r="AO403" i="1"/>
  <c r="AP403" i="1"/>
  <c r="J403" i="1" s="1"/>
  <c r="BD403" i="1"/>
  <c r="BF403" i="1"/>
  <c r="BJ403" i="1"/>
  <c r="K405" i="1"/>
  <c r="AL405" i="1" s="1"/>
  <c r="Z405" i="1"/>
  <c r="AD405" i="1"/>
  <c r="AE405" i="1"/>
  <c r="AF405" i="1"/>
  <c r="AG405" i="1"/>
  <c r="AH405" i="1"/>
  <c r="AJ405" i="1"/>
  <c r="AK405" i="1"/>
  <c r="AO405" i="1"/>
  <c r="I405" i="1" s="1"/>
  <c r="AP405" i="1"/>
  <c r="AX405" i="1" s="1"/>
  <c r="BD405" i="1"/>
  <c r="BF405" i="1"/>
  <c r="BJ405" i="1"/>
  <c r="K407" i="1"/>
  <c r="AL407" i="1" s="1"/>
  <c r="Z407" i="1"/>
  <c r="AD407" i="1"/>
  <c r="AE407" i="1"/>
  <c r="AF407" i="1"/>
  <c r="AG407" i="1"/>
  <c r="AH407" i="1"/>
  <c r="AJ407" i="1"/>
  <c r="AK407" i="1"/>
  <c r="AO407" i="1"/>
  <c r="BH407" i="1" s="1"/>
  <c r="AB407" i="1" s="1"/>
  <c r="AP407" i="1"/>
  <c r="J407" i="1" s="1"/>
  <c r="BD407" i="1"/>
  <c r="BF407" i="1"/>
  <c r="BJ407" i="1"/>
  <c r="K409" i="1"/>
  <c r="AL409" i="1" s="1"/>
  <c r="Z409" i="1"/>
  <c r="AD409" i="1"/>
  <c r="AE409" i="1"/>
  <c r="AF409" i="1"/>
  <c r="AG409" i="1"/>
  <c r="AH409" i="1"/>
  <c r="AJ409" i="1"/>
  <c r="AK409" i="1"/>
  <c r="AO409" i="1"/>
  <c r="AW409" i="1" s="1"/>
  <c r="AP409" i="1"/>
  <c r="BD409" i="1"/>
  <c r="BF409" i="1"/>
  <c r="BJ409" i="1"/>
  <c r="K418" i="1"/>
  <c r="AL418" i="1" s="1"/>
  <c r="Z418" i="1"/>
  <c r="AD418" i="1"/>
  <c r="AE418" i="1"/>
  <c r="AF418" i="1"/>
  <c r="AG418" i="1"/>
  <c r="AH418" i="1"/>
  <c r="AJ418" i="1"/>
  <c r="AK418" i="1"/>
  <c r="AO418" i="1"/>
  <c r="AP418" i="1"/>
  <c r="J418" i="1" s="1"/>
  <c r="BD418" i="1"/>
  <c r="BF418" i="1"/>
  <c r="BJ418" i="1"/>
  <c r="K421" i="1"/>
  <c r="AL421" i="1" s="1"/>
  <c r="Z421" i="1"/>
  <c r="AD421" i="1"/>
  <c r="AE421" i="1"/>
  <c r="AF421" i="1"/>
  <c r="AG421" i="1"/>
  <c r="AH421" i="1"/>
  <c r="AJ421" i="1"/>
  <c r="AK421" i="1"/>
  <c r="AO421" i="1"/>
  <c r="BH421" i="1" s="1"/>
  <c r="AB421" i="1" s="1"/>
  <c r="AP421" i="1"/>
  <c r="J421" i="1" s="1"/>
  <c r="BD421" i="1"/>
  <c r="BF421" i="1"/>
  <c r="BJ421" i="1"/>
  <c r="K424" i="1"/>
  <c r="AL424" i="1" s="1"/>
  <c r="Z424" i="1"/>
  <c r="AD424" i="1"/>
  <c r="AE424" i="1"/>
  <c r="AF424" i="1"/>
  <c r="AG424" i="1"/>
  <c r="AH424" i="1"/>
  <c r="AJ424" i="1"/>
  <c r="AK424" i="1"/>
  <c r="AO424" i="1"/>
  <c r="I424" i="1" s="1"/>
  <c r="AP424" i="1"/>
  <c r="BD424" i="1"/>
  <c r="BF424" i="1"/>
  <c r="BH424" i="1"/>
  <c r="AB424" i="1" s="1"/>
  <c r="BJ424" i="1"/>
  <c r="K426" i="1"/>
  <c r="AL426" i="1" s="1"/>
  <c r="Z426" i="1"/>
  <c r="AD426" i="1"/>
  <c r="AE426" i="1"/>
  <c r="AF426" i="1"/>
  <c r="AG426" i="1"/>
  <c r="AH426" i="1"/>
  <c r="AJ426" i="1"/>
  <c r="AK426" i="1"/>
  <c r="AO426" i="1"/>
  <c r="I426" i="1" s="1"/>
  <c r="AP426" i="1"/>
  <c r="J426" i="1" s="1"/>
  <c r="BD426" i="1"/>
  <c r="BF426" i="1"/>
  <c r="BI426" i="1"/>
  <c r="AC426" i="1" s="1"/>
  <c r="BJ426" i="1"/>
  <c r="K440" i="1"/>
  <c r="AL440" i="1" s="1"/>
  <c r="Z440" i="1"/>
  <c r="AD440" i="1"/>
  <c r="AE440" i="1"/>
  <c r="AF440" i="1"/>
  <c r="AG440" i="1"/>
  <c r="AH440" i="1"/>
  <c r="AJ440" i="1"/>
  <c r="AK440" i="1"/>
  <c r="AO440" i="1"/>
  <c r="AP440" i="1"/>
  <c r="BI440" i="1" s="1"/>
  <c r="AC440" i="1" s="1"/>
  <c r="BD440" i="1"/>
  <c r="BF440" i="1"/>
  <c r="BJ440" i="1"/>
  <c r="K444" i="1"/>
  <c r="AL444" i="1" s="1"/>
  <c r="Z444" i="1"/>
  <c r="AD444" i="1"/>
  <c r="AE444" i="1"/>
  <c r="AF444" i="1"/>
  <c r="AG444" i="1"/>
  <c r="AH444" i="1"/>
  <c r="AJ444" i="1"/>
  <c r="AK444" i="1"/>
  <c r="AO444" i="1"/>
  <c r="BH444" i="1" s="1"/>
  <c r="AB444" i="1" s="1"/>
  <c r="AP444" i="1"/>
  <c r="J444" i="1" s="1"/>
  <c r="BD444" i="1"/>
  <c r="BF444" i="1"/>
  <c r="BJ444" i="1"/>
  <c r="K453" i="1"/>
  <c r="AL453" i="1" s="1"/>
  <c r="Z453" i="1"/>
  <c r="AD453" i="1"/>
  <c r="AE453" i="1"/>
  <c r="AF453" i="1"/>
  <c r="AG453" i="1"/>
  <c r="AH453" i="1"/>
  <c r="AJ453" i="1"/>
  <c r="AK453" i="1"/>
  <c r="AO453" i="1"/>
  <c r="I453" i="1" s="1"/>
  <c r="AP453" i="1"/>
  <c r="BD453" i="1"/>
  <c r="BF453" i="1"/>
  <c r="BH453" i="1"/>
  <c r="AB453" i="1" s="1"/>
  <c r="BJ453" i="1"/>
  <c r="K455" i="1"/>
  <c r="AL455" i="1" s="1"/>
  <c r="Z455" i="1"/>
  <c r="AD455" i="1"/>
  <c r="AE455" i="1"/>
  <c r="AF455" i="1"/>
  <c r="AG455" i="1"/>
  <c r="AH455" i="1"/>
  <c r="AJ455" i="1"/>
  <c r="AK455" i="1"/>
  <c r="AO455" i="1"/>
  <c r="AP455" i="1"/>
  <c r="J455" i="1" s="1"/>
  <c r="BD455" i="1"/>
  <c r="BF455" i="1"/>
  <c r="BJ455" i="1"/>
  <c r="K459" i="1"/>
  <c r="AL459" i="1" s="1"/>
  <c r="Z459" i="1"/>
  <c r="AD459" i="1"/>
  <c r="AE459" i="1"/>
  <c r="AF459" i="1"/>
  <c r="AG459" i="1"/>
  <c r="AH459" i="1"/>
  <c r="AJ459" i="1"/>
  <c r="AK459" i="1"/>
  <c r="AO459" i="1"/>
  <c r="I459" i="1" s="1"/>
  <c r="AP459" i="1"/>
  <c r="J459" i="1" s="1"/>
  <c r="BD459" i="1"/>
  <c r="BF459" i="1"/>
  <c r="BJ459" i="1"/>
  <c r="K467" i="1"/>
  <c r="AL467" i="1" s="1"/>
  <c r="Z467" i="1"/>
  <c r="AD467" i="1"/>
  <c r="AE467" i="1"/>
  <c r="AF467" i="1"/>
  <c r="AG467" i="1"/>
  <c r="AH467" i="1"/>
  <c r="AJ467" i="1"/>
  <c r="AK467" i="1"/>
  <c r="AO467" i="1"/>
  <c r="BH467" i="1" s="1"/>
  <c r="AB467" i="1" s="1"/>
  <c r="AP467" i="1"/>
  <c r="J467" i="1" s="1"/>
  <c r="BD467" i="1"/>
  <c r="BF467" i="1"/>
  <c r="BJ467" i="1"/>
  <c r="K469" i="1"/>
  <c r="AL469" i="1" s="1"/>
  <c r="Z469" i="1"/>
  <c r="AD469" i="1"/>
  <c r="AE469" i="1"/>
  <c r="AF469" i="1"/>
  <c r="AG469" i="1"/>
  <c r="AH469" i="1"/>
  <c r="AJ469" i="1"/>
  <c r="AK469" i="1"/>
  <c r="AO469" i="1"/>
  <c r="I469" i="1" s="1"/>
  <c r="AP469" i="1"/>
  <c r="J469" i="1" s="1"/>
  <c r="BD469" i="1"/>
  <c r="BF469" i="1"/>
  <c r="BH469" i="1"/>
  <c r="AB469" i="1" s="1"/>
  <c r="BJ469" i="1"/>
  <c r="K471" i="1"/>
  <c r="AL471" i="1" s="1"/>
  <c r="Z471" i="1"/>
  <c r="AD471" i="1"/>
  <c r="AE471" i="1"/>
  <c r="AF471" i="1"/>
  <c r="AG471" i="1"/>
  <c r="AH471" i="1"/>
  <c r="AJ471" i="1"/>
  <c r="AK471" i="1"/>
  <c r="AO471" i="1"/>
  <c r="I471" i="1" s="1"/>
  <c r="AP471" i="1"/>
  <c r="J471" i="1" s="1"/>
  <c r="BD471" i="1"/>
  <c r="BF471" i="1"/>
  <c r="BH471" i="1"/>
  <c r="AB471" i="1" s="1"/>
  <c r="BJ471" i="1"/>
  <c r="K473" i="1"/>
  <c r="Z473" i="1"/>
  <c r="AD473" i="1"/>
  <c r="AE473" i="1"/>
  <c r="AF473" i="1"/>
  <c r="AG473" i="1"/>
  <c r="AH473" i="1"/>
  <c r="AJ473" i="1"/>
  <c r="AK473" i="1"/>
  <c r="AL473" i="1"/>
  <c r="AO473" i="1"/>
  <c r="I473" i="1" s="1"/>
  <c r="AP473" i="1"/>
  <c r="J473" i="1" s="1"/>
  <c r="AX473" i="1"/>
  <c r="BD473" i="1"/>
  <c r="BF473" i="1"/>
  <c r="BI473" i="1"/>
  <c r="AC473" i="1" s="1"/>
  <c r="BJ473" i="1"/>
  <c r="K475" i="1"/>
  <c r="AL475" i="1" s="1"/>
  <c r="Z475" i="1"/>
  <c r="AD475" i="1"/>
  <c r="AE475" i="1"/>
  <c r="AF475" i="1"/>
  <c r="AG475" i="1"/>
  <c r="AH475" i="1"/>
  <c r="AJ475" i="1"/>
  <c r="AK475" i="1"/>
  <c r="AO475" i="1"/>
  <c r="BH475" i="1" s="1"/>
  <c r="AB475" i="1" s="1"/>
  <c r="AP475" i="1"/>
  <c r="J475" i="1" s="1"/>
  <c r="BD475" i="1"/>
  <c r="BF475" i="1"/>
  <c r="BJ475" i="1"/>
  <c r="K478" i="1"/>
  <c r="AL478" i="1" s="1"/>
  <c r="Z478" i="1"/>
  <c r="AD478" i="1"/>
  <c r="AE478" i="1"/>
  <c r="AF478" i="1"/>
  <c r="AG478" i="1"/>
  <c r="AH478" i="1"/>
  <c r="AJ478" i="1"/>
  <c r="AK478" i="1"/>
  <c r="AO478" i="1"/>
  <c r="I478" i="1" s="1"/>
  <c r="AP478" i="1"/>
  <c r="BI478" i="1" s="1"/>
  <c r="AC478" i="1" s="1"/>
  <c r="BD478" i="1"/>
  <c r="BF478" i="1"/>
  <c r="BJ478" i="1"/>
  <c r="K484" i="1"/>
  <c r="AL484" i="1" s="1"/>
  <c r="Z484" i="1"/>
  <c r="AD484" i="1"/>
  <c r="AE484" i="1"/>
  <c r="AF484" i="1"/>
  <c r="AG484" i="1"/>
  <c r="AH484" i="1"/>
  <c r="AJ484" i="1"/>
  <c r="AK484" i="1"/>
  <c r="AO484" i="1"/>
  <c r="I484" i="1" s="1"/>
  <c r="AP484" i="1"/>
  <c r="J484" i="1" s="1"/>
  <c r="BD484" i="1"/>
  <c r="BF484" i="1"/>
  <c r="BH484" i="1"/>
  <c r="AB484" i="1" s="1"/>
  <c r="BJ484" i="1"/>
  <c r="K486" i="1"/>
  <c r="AL486" i="1" s="1"/>
  <c r="Z486" i="1"/>
  <c r="AD486" i="1"/>
  <c r="AE486" i="1"/>
  <c r="AF486" i="1"/>
  <c r="AG486" i="1"/>
  <c r="AH486" i="1"/>
  <c r="AJ486" i="1"/>
  <c r="AK486" i="1"/>
  <c r="AO486" i="1"/>
  <c r="I486" i="1" s="1"/>
  <c r="AP486" i="1"/>
  <c r="BD486" i="1"/>
  <c r="BF486" i="1"/>
  <c r="BH486" i="1"/>
  <c r="AB486" i="1" s="1"/>
  <c r="BJ486" i="1"/>
  <c r="K488" i="1"/>
  <c r="AL488" i="1" s="1"/>
  <c r="Z488" i="1"/>
  <c r="AD488" i="1"/>
  <c r="AE488" i="1"/>
  <c r="AF488" i="1"/>
  <c r="AG488" i="1"/>
  <c r="AH488" i="1"/>
  <c r="AJ488" i="1"/>
  <c r="AK488" i="1"/>
  <c r="AO488" i="1"/>
  <c r="AP488" i="1"/>
  <c r="J488" i="1" s="1"/>
  <c r="BD488" i="1"/>
  <c r="BF488" i="1"/>
  <c r="BI488" i="1"/>
  <c r="AC488" i="1" s="1"/>
  <c r="BJ488" i="1"/>
  <c r="K490" i="1"/>
  <c r="AL490" i="1" s="1"/>
  <c r="Z490" i="1"/>
  <c r="AD490" i="1"/>
  <c r="AE490" i="1"/>
  <c r="AF490" i="1"/>
  <c r="AG490" i="1"/>
  <c r="AH490" i="1"/>
  <c r="AJ490" i="1"/>
  <c r="AK490" i="1"/>
  <c r="AO490" i="1"/>
  <c r="I490" i="1" s="1"/>
  <c r="AP490" i="1"/>
  <c r="J490" i="1" s="1"/>
  <c r="BD490" i="1"/>
  <c r="BF490" i="1"/>
  <c r="BJ490" i="1"/>
  <c r="K493" i="1"/>
  <c r="AL493" i="1" s="1"/>
  <c r="Z493" i="1"/>
  <c r="AD493" i="1"/>
  <c r="AE493" i="1"/>
  <c r="AF493" i="1"/>
  <c r="AG493" i="1"/>
  <c r="AH493" i="1"/>
  <c r="AJ493" i="1"/>
  <c r="AK493" i="1"/>
  <c r="AO493" i="1"/>
  <c r="I493" i="1" s="1"/>
  <c r="AP493" i="1"/>
  <c r="J493" i="1" s="1"/>
  <c r="BD493" i="1"/>
  <c r="BF493" i="1"/>
  <c r="BJ493" i="1"/>
  <c r="K495" i="1"/>
  <c r="AL495" i="1" s="1"/>
  <c r="Z495" i="1"/>
  <c r="AD495" i="1"/>
  <c r="AE495" i="1"/>
  <c r="AF495" i="1"/>
  <c r="AG495" i="1"/>
  <c r="AH495" i="1"/>
  <c r="AJ495" i="1"/>
  <c r="AK495" i="1"/>
  <c r="AO495" i="1"/>
  <c r="I495" i="1" s="1"/>
  <c r="AP495" i="1"/>
  <c r="J495" i="1" s="1"/>
  <c r="AX495" i="1"/>
  <c r="BD495" i="1"/>
  <c r="BF495" i="1"/>
  <c r="BI495" i="1"/>
  <c r="AC495" i="1" s="1"/>
  <c r="BJ495" i="1"/>
  <c r="K500" i="1"/>
  <c r="AL500" i="1" s="1"/>
  <c r="Z500" i="1"/>
  <c r="AD500" i="1"/>
  <c r="AE500" i="1"/>
  <c r="AF500" i="1"/>
  <c r="AG500" i="1"/>
  <c r="AH500" i="1"/>
  <c r="AJ500" i="1"/>
  <c r="AK500" i="1"/>
  <c r="AO500" i="1"/>
  <c r="I500" i="1" s="1"/>
  <c r="AP500" i="1"/>
  <c r="AX500" i="1" s="1"/>
  <c r="BD500" i="1"/>
  <c r="BF500" i="1"/>
  <c r="BH500" i="1"/>
  <c r="AB500" i="1" s="1"/>
  <c r="BJ500" i="1"/>
  <c r="K502" i="1"/>
  <c r="AL502" i="1" s="1"/>
  <c r="Z502" i="1"/>
  <c r="AD502" i="1"/>
  <c r="AE502" i="1"/>
  <c r="AF502" i="1"/>
  <c r="AG502" i="1"/>
  <c r="AH502" i="1"/>
  <c r="AJ502" i="1"/>
  <c r="AK502" i="1"/>
  <c r="AO502" i="1"/>
  <c r="I502" i="1" s="1"/>
  <c r="AP502" i="1"/>
  <c r="AX502" i="1" s="1"/>
  <c r="BD502" i="1"/>
  <c r="BF502" i="1"/>
  <c r="BJ502" i="1"/>
  <c r="K505" i="1"/>
  <c r="AL505" i="1" s="1"/>
  <c r="Z505" i="1"/>
  <c r="AD505" i="1"/>
  <c r="AE505" i="1"/>
  <c r="AF505" i="1"/>
  <c r="AG505" i="1"/>
  <c r="AH505" i="1"/>
  <c r="AJ505" i="1"/>
  <c r="AK505" i="1"/>
  <c r="AO505" i="1"/>
  <c r="AW505" i="1" s="1"/>
  <c r="AP505" i="1"/>
  <c r="J505" i="1" s="1"/>
  <c r="BD505" i="1"/>
  <c r="BF505" i="1"/>
  <c r="BH505" i="1"/>
  <c r="AB505" i="1" s="1"/>
  <c r="BJ505" i="1"/>
  <c r="K507" i="1"/>
  <c r="AL507" i="1" s="1"/>
  <c r="Z507" i="1"/>
  <c r="AD507" i="1"/>
  <c r="AE507" i="1"/>
  <c r="AF507" i="1"/>
  <c r="AG507" i="1"/>
  <c r="AH507" i="1"/>
  <c r="AJ507" i="1"/>
  <c r="AK507" i="1"/>
  <c r="AO507" i="1"/>
  <c r="I507" i="1" s="1"/>
  <c r="AP507" i="1"/>
  <c r="J507" i="1" s="1"/>
  <c r="BD507" i="1"/>
  <c r="BF507" i="1"/>
  <c r="BH507" i="1"/>
  <c r="AB507" i="1" s="1"/>
  <c r="BJ507" i="1"/>
  <c r="K510" i="1"/>
  <c r="AL510" i="1" s="1"/>
  <c r="AU509" i="1" s="1"/>
  <c r="AB510" i="1"/>
  <c r="AC510" i="1"/>
  <c r="AD510" i="1"/>
  <c r="AE510" i="1"/>
  <c r="AF510" i="1"/>
  <c r="AG510" i="1"/>
  <c r="AH510" i="1"/>
  <c r="AJ510" i="1"/>
  <c r="AS509" i="1" s="1"/>
  <c r="AK510" i="1"/>
  <c r="AT509" i="1" s="1"/>
  <c r="AO510" i="1"/>
  <c r="I510" i="1" s="1"/>
  <c r="I509" i="1" s="1"/>
  <c r="AP510" i="1"/>
  <c r="J510" i="1" s="1"/>
  <c r="J509" i="1" s="1"/>
  <c r="BD510" i="1"/>
  <c r="BF510" i="1"/>
  <c r="BH510" i="1"/>
  <c r="BJ510" i="1"/>
  <c r="Z510" i="1" s="1"/>
  <c r="K513" i="1"/>
  <c r="K512" i="1" s="1"/>
  <c r="Z513" i="1"/>
  <c r="AB513" i="1"/>
  <c r="AC513" i="1"/>
  <c r="AD513" i="1"/>
  <c r="AE513" i="1"/>
  <c r="AH513" i="1"/>
  <c r="AJ513" i="1"/>
  <c r="AS512" i="1" s="1"/>
  <c r="AK513" i="1"/>
  <c r="AT512" i="1" s="1"/>
  <c r="AO513" i="1"/>
  <c r="BH513" i="1" s="1"/>
  <c r="AF513" i="1" s="1"/>
  <c r="AP513" i="1"/>
  <c r="AX513" i="1" s="1"/>
  <c r="BD513" i="1"/>
  <c r="BF513" i="1"/>
  <c r="BJ513" i="1"/>
  <c r="K516" i="1"/>
  <c r="AB516" i="1"/>
  <c r="AC516" i="1"/>
  <c r="AD516" i="1"/>
  <c r="AE516" i="1"/>
  <c r="AF516" i="1"/>
  <c r="AG516" i="1"/>
  <c r="AH516" i="1"/>
  <c r="AJ516" i="1"/>
  <c r="AK516" i="1"/>
  <c r="AO516" i="1"/>
  <c r="I516" i="1" s="1"/>
  <c r="AP516" i="1"/>
  <c r="J516" i="1" s="1"/>
  <c r="BD516" i="1"/>
  <c r="BF516" i="1"/>
  <c r="BJ516" i="1"/>
  <c r="Z516" i="1" s="1"/>
  <c r="K518" i="1"/>
  <c r="AL518" i="1" s="1"/>
  <c r="AB518" i="1"/>
  <c r="AC518" i="1"/>
  <c r="AD518" i="1"/>
  <c r="AE518" i="1"/>
  <c r="AF518" i="1"/>
  <c r="AG518" i="1"/>
  <c r="AH518" i="1"/>
  <c r="AJ518" i="1"/>
  <c r="AK518" i="1"/>
  <c r="AO518" i="1"/>
  <c r="I518" i="1" s="1"/>
  <c r="AP518" i="1"/>
  <c r="J518" i="1" s="1"/>
  <c r="BD518" i="1"/>
  <c r="BF518" i="1"/>
  <c r="BJ518" i="1"/>
  <c r="Z518" i="1" s="1"/>
  <c r="K520" i="1"/>
  <c r="AL520" i="1" s="1"/>
  <c r="AB520" i="1"/>
  <c r="AC520" i="1"/>
  <c r="AD520" i="1"/>
  <c r="AE520" i="1"/>
  <c r="AF520" i="1"/>
  <c r="AG520" i="1"/>
  <c r="AH520" i="1"/>
  <c r="AJ520" i="1"/>
  <c r="AK520" i="1"/>
  <c r="AO520" i="1"/>
  <c r="BH520" i="1" s="1"/>
  <c r="AP520" i="1"/>
  <c r="J520" i="1" s="1"/>
  <c r="BD520" i="1"/>
  <c r="BF520" i="1"/>
  <c r="BJ520" i="1"/>
  <c r="Z520" i="1" s="1"/>
  <c r="K522" i="1"/>
  <c r="AL522" i="1" s="1"/>
  <c r="AB522" i="1"/>
  <c r="AC522" i="1"/>
  <c r="AD522" i="1"/>
  <c r="AE522" i="1"/>
  <c r="AF522" i="1"/>
  <c r="AG522" i="1"/>
  <c r="AH522" i="1"/>
  <c r="AJ522" i="1"/>
  <c r="AK522" i="1"/>
  <c r="AO522" i="1"/>
  <c r="I522" i="1" s="1"/>
  <c r="AP522" i="1"/>
  <c r="J522" i="1" s="1"/>
  <c r="BD522" i="1"/>
  <c r="BF522" i="1"/>
  <c r="BH522" i="1"/>
  <c r="BJ522" i="1"/>
  <c r="Z522" i="1" s="1"/>
  <c r="K524" i="1"/>
  <c r="AL524" i="1" s="1"/>
  <c r="AB524" i="1"/>
  <c r="AC524" i="1"/>
  <c r="AD524" i="1"/>
  <c r="AE524" i="1"/>
  <c r="AF524" i="1"/>
  <c r="AG524" i="1"/>
  <c r="AH524" i="1"/>
  <c r="AJ524" i="1"/>
  <c r="AK524" i="1"/>
  <c r="AO524" i="1"/>
  <c r="I524" i="1" s="1"/>
  <c r="AP524" i="1"/>
  <c r="J524" i="1" s="1"/>
  <c r="BD524" i="1"/>
  <c r="BF524" i="1"/>
  <c r="BI524" i="1"/>
  <c r="BJ524" i="1"/>
  <c r="Z524" i="1" s="1"/>
  <c r="K526" i="1"/>
  <c r="AL526" i="1" s="1"/>
  <c r="AB526" i="1"/>
  <c r="AC526" i="1"/>
  <c r="AD526" i="1"/>
  <c r="AE526" i="1"/>
  <c r="AF526" i="1"/>
  <c r="AG526" i="1"/>
  <c r="AH526" i="1"/>
  <c r="AJ526" i="1"/>
  <c r="AK526" i="1"/>
  <c r="AO526" i="1"/>
  <c r="I526" i="1" s="1"/>
  <c r="AP526" i="1"/>
  <c r="AX526" i="1" s="1"/>
  <c r="BD526" i="1"/>
  <c r="BF526" i="1"/>
  <c r="BJ526" i="1"/>
  <c r="Z526" i="1" s="1"/>
  <c r="K528" i="1"/>
  <c r="AB528" i="1"/>
  <c r="AC528" i="1"/>
  <c r="AD528" i="1"/>
  <c r="AE528" i="1"/>
  <c r="AF528" i="1"/>
  <c r="AG528" i="1"/>
  <c r="AH528" i="1"/>
  <c r="AJ528" i="1"/>
  <c r="AK528" i="1"/>
  <c r="AL528" i="1"/>
  <c r="AO528" i="1"/>
  <c r="BH528" i="1" s="1"/>
  <c r="AP528" i="1"/>
  <c r="J528" i="1" s="1"/>
  <c r="BD528" i="1"/>
  <c r="BF528" i="1"/>
  <c r="BI528" i="1"/>
  <c r="BJ528" i="1"/>
  <c r="Z528" i="1" s="1"/>
  <c r="K530" i="1"/>
  <c r="AL530" i="1" s="1"/>
  <c r="AB530" i="1"/>
  <c r="AC530" i="1"/>
  <c r="AD530" i="1"/>
  <c r="AE530" i="1"/>
  <c r="AF530" i="1"/>
  <c r="AG530" i="1"/>
  <c r="AH530" i="1"/>
  <c r="AJ530" i="1"/>
  <c r="AK530" i="1"/>
  <c r="AO530" i="1"/>
  <c r="I530" i="1" s="1"/>
  <c r="AP530" i="1"/>
  <c r="J530" i="1" s="1"/>
  <c r="AX530" i="1"/>
  <c r="BD530" i="1"/>
  <c r="BF530" i="1"/>
  <c r="BI530" i="1"/>
  <c r="BJ530" i="1"/>
  <c r="Z530" i="1" s="1"/>
  <c r="K532" i="1"/>
  <c r="AL532" i="1" s="1"/>
  <c r="AB532" i="1"/>
  <c r="AC532" i="1"/>
  <c r="AD532" i="1"/>
  <c r="AE532" i="1"/>
  <c r="AF532" i="1"/>
  <c r="AG532" i="1"/>
  <c r="AH532" i="1"/>
  <c r="AJ532" i="1"/>
  <c r="AK532" i="1"/>
  <c r="AO532" i="1"/>
  <c r="I532" i="1" s="1"/>
  <c r="AP532" i="1"/>
  <c r="J532" i="1" s="1"/>
  <c r="AW532" i="1"/>
  <c r="BD532" i="1"/>
  <c r="BF532" i="1"/>
  <c r="BH532" i="1"/>
  <c r="BJ532" i="1"/>
  <c r="Z532" i="1" s="1"/>
  <c r="K534" i="1"/>
  <c r="AL534" i="1" s="1"/>
  <c r="AB534" i="1"/>
  <c r="AC534" i="1"/>
  <c r="AD534" i="1"/>
  <c r="AE534" i="1"/>
  <c r="AF534" i="1"/>
  <c r="AG534" i="1"/>
  <c r="AH534" i="1"/>
  <c r="AJ534" i="1"/>
  <c r="AK534" i="1"/>
  <c r="AO534" i="1"/>
  <c r="AW534" i="1" s="1"/>
  <c r="AP534" i="1"/>
  <c r="BI534" i="1" s="1"/>
  <c r="BD534" i="1"/>
  <c r="BF534" i="1"/>
  <c r="BJ534" i="1"/>
  <c r="Z534" i="1" s="1"/>
  <c r="BI65" i="1" l="1"/>
  <c r="AC65" i="1" s="1"/>
  <c r="BI516" i="1"/>
  <c r="AL513" i="1"/>
  <c r="AU512" i="1" s="1"/>
  <c r="BH495" i="1"/>
  <c r="AB495" i="1" s="1"/>
  <c r="AX488" i="1"/>
  <c r="BH473" i="1"/>
  <c r="AB473" i="1" s="1"/>
  <c r="AW473" i="1"/>
  <c r="BI376" i="1"/>
  <c r="AE376" i="1" s="1"/>
  <c r="AW376" i="1"/>
  <c r="I376" i="1"/>
  <c r="I375" i="1" s="1"/>
  <c r="BI333" i="1"/>
  <c r="AE333" i="1" s="1"/>
  <c r="I329" i="1"/>
  <c r="AX284" i="1"/>
  <c r="AW210" i="1"/>
  <c r="I210" i="1"/>
  <c r="I98" i="1"/>
  <c r="AX426" i="1"/>
  <c r="BI390" i="1"/>
  <c r="AC390" i="1" s="1"/>
  <c r="AX390" i="1"/>
  <c r="AX344" i="1"/>
  <c r="AS262" i="1"/>
  <c r="AW225" i="1"/>
  <c r="I225" i="1"/>
  <c r="AW223" i="1"/>
  <c r="AX208" i="1"/>
  <c r="AS43" i="1"/>
  <c r="AW13" i="1"/>
  <c r="I13" i="1"/>
  <c r="BH240" i="1"/>
  <c r="AD240" i="1" s="1"/>
  <c r="I260" i="1"/>
  <c r="AX65" i="1"/>
  <c r="BH409" i="1"/>
  <c r="AB409" i="1" s="1"/>
  <c r="BI141" i="1"/>
  <c r="AC141" i="1" s="1"/>
  <c r="BI475" i="1"/>
  <c r="AC475" i="1" s="1"/>
  <c r="BI418" i="1"/>
  <c r="AC418" i="1" s="1"/>
  <c r="AX524" i="1"/>
  <c r="AX516" i="1"/>
  <c r="AW510" i="1"/>
  <c r="BH502" i="1"/>
  <c r="AB502" i="1" s="1"/>
  <c r="AW500" i="1"/>
  <c r="BC500" i="1" s="1"/>
  <c r="AX478" i="1"/>
  <c r="J478" i="1"/>
  <c r="AW471" i="1"/>
  <c r="I421" i="1"/>
  <c r="AX403" i="1"/>
  <c r="AX400" i="1"/>
  <c r="AT354" i="1"/>
  <c r="BI352" i="1"/>
  <c r="AW335" i="1"/>
  <c r="BI327" i="1"/>
  <c r="AE327" i="1" s="1"/>
  <c r="BH325" i="1"/>
  <c r="AD325" i="1" s="1"/>
  <c r="BI323" i="1"/>
  <c r="AE323" i="1" s="1"/>
  <c r="BH270" i="1"/>
  <c r="AD270" i="1" s="1"/>
  <c r="BI265" i="1"/>
  <c r="AE265" i="1" s="1"/>
  <c r="BI246" i="1"/>
  <c r="AE246" i="1" s="1"/>
  <c r="I240" i="1"/>
  <c r="BI234" i="1"/>
  <c r="BI214" i="1"/>
  <c r="AE214" i="1" s="1"/>
  <c r="BI206" i="1"/>
  <c r="AE206" i="1" s="1"/>
  <c r="AL183" i="1"/>
  <c r="AU182" i="1" s="1"/>
  <c r="AX141" i="1"/>
  <c r="BC123" i="1"/>
  <c r="AX20" i="1"/>
  <c r="BH381" i="1"/>
  <c r="AB381" i="1" s="1"/>
  <c r="BI493" i="1"/>
  <c r="AC493" i="1" s="1"/>
  <c r="AS354" i="1"/>
  <c r="BI202" i="1"/>
  <c r="AE202" i="1" s="1"/>
  <c r="BI403" i="1"/>
  <c r="AC403" i="1" s="1"/>
  <c r="AW502" i="1"/>
  <c r="AV502" i="1" s="1"/>
  <c r="BI365" i="1"/>
  <c r="AE365" i="1" s="1"/>
  <c r="AW325" i="1"/>
  <c r="AV325" i="1" s="1"/>
  <c r="AW270" i="1"/>
  <c r="BI244" i="1"/>
  <c r="AE244" i="1" s="1"/>
  <c r="J177" i="1"/>
  <c r="BI163" i="1"/>
  <c r="AC163" i="1" s="1"/>
  <c r="BC163" i="1"/>
  <c r="BI117" i="1"/>
  <c r="AC117" i="1" s="1"/>
  <c r="I528" i="1"/>
  <c r="I513" i="1"/>
  <c r="I512" i="1" s="1"/>
  <c r="BC473" i="1"/>
  <c r="BI355" i="1"/>
  <c r="AE355" i="1" s="1"/>
  <c r="AW528" i="1"/>
  <c r="AW520" i="1"/>
  <c r="AW513" i="1"/>
  <c r="BC513" i="1" s="1"/>
  <c r="K509" i="1"/>
  <c r="J502" i="1"/>
  <c r="AW493" i="1"/>
  <c r="AW475" i="1"/>
  <c r="I475" i="1"/>
  <c r="BH426" i="1"/>
  <c r="AB426" i="1" s="1"/>
  <c r="AW426" i="1"/>
  <c r="BC426" i="1" s="1"/>
  <c r="AW407" i="1"/>
  <c r="BH400" i="1"/>
  <c r="AW400" i="1"/>
  <c r="BC400" i="1" s="1"/>
  <c r="K375" i="1"/>
  <c r="AW200" i="1"/>
  <c r="I200" i="1"/>
  <c r="I520" i="1"/>
  <c r="I407" i="1"/>
  <c r="BI467" i="1"/>
  <c r="AC467" i="1" s="1"/>
  <c r="BI444" i="1"/>
  <c r="AC444" i="1" s="1"/>
  <c r="BI357" i="1"/>
  <c r="AE357" i="1" s="1"/>
  <c r="AX357" i="1"/>
  <c r="AW295" i="1"/>
  <c r="AW267" i="1"/>
  <c r="AT262" i="1"/>
  <c r="BI194" i="1"/>
  <c r="AE194" i="1" s="1"/>
  <c r="BI160" i="1"/>
  <c r="AC160" i="1" s="1"/>
  <c r="BI23" i="1"/>
  <c r="AC23" i="1" s="1"/>
  <c r="BI532" i="1"/>
  <c r="AX532" i="1"/>
  <c r="AV532" i="1" s="1"/>
  <c r="J513" i="1"/>
  <c r="J512" i="1" s="1"/>
  <c r="BH493" i="1"/>
  <c r="AB493" i="1" s="1"/>
  <c r="AX455" i="1"/>
  <c r="AX440" i="1"/>
  <c r="J440" i="1"/>
  <c r="BI421" i="1"/>
  <c r="AC421" i="1" s="1"/>
  <c r="AX418" i="1"/>
  <c r="J405" i="1"/>
  <c r="AW381" i="1"/>
  <c r="I365" i="1"/>
  <c r="AT362" i="1"/>
  <c r="BH357" i="1"/>
  <c r="AD357" i="1" s="1"/>
  <c r="AW357" i="1"/>
  <c r="AV357" i="1" s="1"/>
  <c r="AX352" i="1"/>
  <c r="AX342" i="1"/>
  <c r="J342" i="1"/>
  <c r="AW337" i="1"/>
  <c r="BH267" i="1"/>
  <c r="AX265" i="1"/>
  <c r="AX234" i="1"/>
  <c r="AS222" i="1"/>
  <c r="BH187" i="1"/>
  <c r="AD187" i="1" s="1"/>
  <c r="J59" i="1"/>
  <c r="J58" i="1" s="1"/>
  <c r="AL35" i="1"/>
  <c r="AU34" i="1" s="1"/>
  <c r="BH32" i="1"/>
  <c r="AB32" i="1" s="1"/>
  <c r="BI455" i="1"/>
  <c r="AC455" i="1" s="1"/>
  <c r="AW179" i="1"/>
  <c r="I126" i="1"/>
  <c r="I123" i="1"/>
  <c r="AW74" i="1"/>
  <c r="AW67" i="1"/>
  <c r="AS64" i="1"/>
  <c r="K43" i="1"/>
  <c r="AW30" i="1"/>
  <c r="AV30" i="1" s="1"/>
  <c r="BH335" i="1"/>
  <c r="AD335" i="1" s="1"/>
  <c r="AX333" i="1"/>
  <c r="BI293" i="1"/>
  <c r="AE293" i="1" s="1"/>
  <c r="BH253" i="1"/>
  <c r="AD253" i="1" s="1"/>
  <c r="AX246" i="1"/>
  <c r="AX244" i="1"/>
  <c r="BH223" i="1"/>
  <c r="AD223" i="1" s="1"/>
  <c r="BI218" i="1"/>
  <c r="AE218" i="1" s="1"/>
  <c r="BH216" i="1"/>
  <c r="AD216" i="1" s="1"/>
  <c r="AX206" i="1"/>
  <c r="BH198" i="1"/>
  <c r="AD198" i="1" s="1"/>
  <c r="AW198" i="1"/>
  <c r="BC198" i="1" s="1"/>
  <c r="J194" i="1"/>
  <c r="BH179" i="1"/>
  <c r="AB179" i="1" s="1"/>
  <c r="AX160" i="1"/>
  <c r="BH126" i="1"/>
  <c r="AB126" i="1" s="1"/>
  <c r="AX117" i="1"/>
  <c r="BH74" i="1"/>
  <c r="AB74" i="1" s="1"/>
  <c r="J72" i="1"/>
  <c r="BH67" i="1"/>
  <c r="AB67" i="1" s="1"/>
  <c r="BI59" i="1"/>
  <c r="AC59" i="1" s="1"/>
  <c r="AW55" i="1"/>
  <c r="BC55" i="1" s="1"/>
  <c r="J55" i="1"/>
  <c r="J54" i="1" s="1"/>
  <c r="BH30" i="1"/>
  <c r="AB30" i="1" s="1"/>
  <c r="J30" i="1"/>
  <c r="AX23" i="1"/>
  <c r="AV38" i="1"/>
  <c r="BC38" i="1"/>
  <c r="AX350" i="1"/>
  <c r="BI350" i="1"/>
  <c r="AE350" i="1" s="1"/>
  <c r="J350" i="1"/>
  <c r="AW346" i="1"/>
  <c r="I346" i="1"/>
  <c r="J331" i="1"/>
  <c r="AX331" i="1"/>
  <c r="BI331" i="1"/>
  <c r="AE331" i="1" s="1"/>
  <c r="J319" i="1"/>
  <c r="BI319" i="1"/>
  <c r="AE319" i="1" s="1"/>
  <c r="J298" i="1"/>
  <c r="J297" i="1" s="1"/>
  <c r="BI298" i="1"/>
  <c r="AE298" i="1" s="1"/>
  <c r="J263" i="1"/>
  <c r="AX263" i="1"/>
  <c r="BI263" i="1"/>
  <c r="AE263" i="1" s="1"/>
  <c r="J260" i="1"/>
  <c r="AX260" i="1"/>
  <c r="AV260" i="1" s="1"/>
  <c r="BI260" i="1"/>
  <c r="J237" i="1"/>
  <c r="J236" i="1" s="1"/>
  <c r="AX237" i="1"/>
  <c r="BI237" i="1"/>
  <c r="AE237" i="1" s="1"/>
  <c r="J229" i="1"/>
  <c r="AX229" i="1"/>
  <c r="BI229" i="1"/>
  <c r="AE229" i="1" s="1"/>
  <c r="J212" i="1"/>
  <c r="AX212" i="1"/>
  <c r="BC212" i="1" s="1"/>
  <c r="BI212" i="1"/>
  <c r="AE212" i="1" s="1"/>
  <c r="AT515" i="1"/>
  <c r="I505" i="1"/>
  <c r="BI490" i="1"/>
  <c r="AC490" i="1" s="1"/>
  <c r="AX490" i="1"/>
  <c r="AV473" i="1"/>
  <c r="I467" i="1"/>
  <c r="AW459" i="1"/>
  <c r="BH459" i="1"/>
  <c r="AB459" i="1" s="1"/>
  <c r="J409" i="1"/>
  <c r="BI409" i="1"/>
  <c r="AC409" i="1" s="1"/>
  <c r="I403" i="1"/>
  <c r="BH403" i="1"/>
  <c r="AB403" i="1" s="1"/>
  <c r="K380" i="1"/>
  <c r="AX381" i="1"/>
  <c r="BI381" i="1"/>
  <c r="AC381" i="1" s="1"/>
  <c r="AW344" i="1"/>
  <c r="BC344" i="1" s="1"/>
  <c r="BH344" i="1"/>
  <c r="AD344" i="1" s="1"/>
  <c r="AW321" i="1"/>
  <c r="I321" i="1"/>
  <c r="AX258" i="1"/>
  <c r="BI258" i="1"/>
  <c r="AE258" i="1" s="1"/>
  <c r="J258" i="1"/>
  <c r="AS252" i="1"/>
  <c r="J242" i="1"/>
  <c r="AX242" i="1"/>
  <c r="BI242" i="1"/>
  <c r="AE242" i="1" s="1"/>
  <c r="I177" i="1"/>
  <c r="BH177" i="1"/>
  <c r="AB177" i="1" s="1"/>
  <c r="J534" i="1"/>
  <c r="AX534" i="1"/>
  <c r="AV534" i="1" s="1"/>
  <c r="J526" i="1"/>
  <c r="AX518" i="1"/>
  <c r="AW516" i="1"/>
  <c r="BC516" i="1" s="1"/>
  <c r="J500" i="1"/>
  <c r="J477" i="1" s="1"/>
  <c r="BH490" i="1"/>
  <c r="AB490" i="1" s="1"/>
  <c r="AW490" i="1"/>
  <c r="I488" i="1"/>
  <c r="AW488" i="1"/>
  <c r="BC488" i="1" s="1"/>
  <c r="BH488" i="1"/>
  <c r="AB488" i="1" s="1"/>
  <c r="BH478" i="1"/>
  <c r="AB478" i="1" s="1"/>
  <c r="AW478" i="1"/>
  <c r="AX459" i="1"/>
  <c r="AW405" i="1"/>
  <c r="BC405" i="1" s="1"/>
  <c r="AW394" i="1"/>
  <c r="I394" i="1"/>
  <c r="AW392" i="1"/>
  <c r="BH392" i="1"/>
  <c r="AB392" i="1" s="1"/>
  <c r="I392" i="1"/>
  <c r="J381" i="1"/>
  <c r="AW363" i="1"/>
  <c r="BH363" i="1"/>
  <c r="AD363" i="1" s="1"/>
  <c r="I363" i="1"/>
  <c r="I362" i="1" s="1"/>
  <c r="I360" i="1"/>
  <c r="I354" i="1" s="1"/>
  <c r="BH360" i="1"/>
  <c r="AW327" i="1"/>
  <c r="BH327" i="1"/>
  <c r="AD327" i="1" s="1"/>
  <c r="I327" i="1"/>
  <c r="AT300" i="1"/>
  <c r="AL298" i="1"/>
  <c r="AU297" i="1" s="1"/>
  <c r="K297" i="1"/>
  <c r="I295" i="1"/>
  <c r="AX270" i="1"/>
  <c r="BC270" i="1" s="1"/>
  <c r="BI270" i="1"/>
  <c r="AE270" i="1" s="1"/>
  <c r="J270" i="1"/>
  <c r="K262" i="1"/>
  <c r="J204" i="1"/>
  <c r="AX204" i="1"/>
  <c r="BI204" i="1"/>
  <c r="AE204" i="1" s="1"/>
  <c r="AX145" i="1"/>
  <c r="BI145" i="1"/>
  <c r="AC145" i="1" s="1"/>
  <c r="J145" i="1"/>
  <c r="BC126" i="1"/>
  <c r="AV126" i="1"/>
  <c r="I117" i="1"/>
  <c r="AW117" i="1"/>
  <c r="BH117" i="1"/>
  <c r="AB117" i="1" s="1"/>
  <c r="AW100" i="1"/>
  <c r="I100" i="1"/>
  <c r="AX98" i="1"/>
  <c r="BC98" i="1" s="1"/>
  <c r="BI98" i="1"/>
  <c r="AC98" i="1" s="1"/>
  <c r="J98" i="1"/>
  <c r="J70" i="1"/>
  <c r="AX70" i="1"/>
  <c r="BI70" i="1"/>
  <c r="AC70" i="1" s="1"/>
  <c r="BI67" i="1"/>
  <c r="AC67" i="1" s="1"/>
  <c r="AX67" i="1"/>
  <c r="AX32" i="1"/>
  <c r="BC32" i="1" s="1"/>
  <c r="BI32" i="1"/>
  <c r="AC32" i="1" s="1"/>
  <c r="J32" i="1"/>
  <c r="K515" i="1"/>
  <c r="BC502" i="1"/>
  <c r="J453" i="1"/>
  <c r="AX453" i="1"/>
  <c r="BI453" i="1"/>
  <c r="AC453" i="1" s="1"/>
  <c r="J424" i="1"/>
  <c r="AX424" i="1"/>
  <c r="BI424" i="1"/>
  <c r="AC424" i="1" s="1"/>
  <c r="AL516" i="1"/>
  <c r="AU515" i="1" s="1"/>
  <c r="I534" i="1"/>
  <c r="I515" i="1" s="1"/>
  <c r="BI526" i="1"/>
  <c r="BH524" i="1"/>
  <c r="AW524" i="1"/>
  <c r="BC524" i="1" s="1"/>
  <c r="AS515" i="1"/>
  <c r="BI518" i="1"/>
  <c r="BH516" i="1"/>
  <c r="BH534" i="1"/>
  <c r="BH530" i="1"/>
  <c r="BH526" i="1"/>
  <c r="AW526" i="1"/>
  <c r="BI522" i="1"/>
  <c r="AX522" i="1"/>
  <c r="BH518" i="1"/>
  <c r="AW518" i="1"/>
  <c r="BI513" i="1"/>
  <c r="AG513" i="1" s="1"/>
  <c r="BI507" i="1"/>
  <c r="AC507" i="1" s="1"/>
  <c r="AX507" i="1"/>
  <c r="BI502" i="1"/>
  <c r="AC502" i="1" s="1"/>
  <c r="BI500" i="1"/>
  <c r="AC500" i="1" s="1"/>
  <c r="J486" i="1"/>
  <c r="AX486" i="1"/>
  <c r="BI486" i="1"/>
  <c r="AC486" i="1" s="1"/>
  <c r="BI484" i="1"/>
  <c r="AC484" i="1" s="1"/>
  <c r="AW484" i="1"/>
  <c r="AS477" i="1"/>
  <c r="AT477" i="1"/>
  <c r="BI471" i="1"/>
  <c r="AC471" i="1" s="1"/>
  <c r="AX471" i="1"/>
  <c r="BI469" i="1"/>
  <c r="AC469" i="1" s="1"/>
  <c r="AX469" i="1"/>
  <c r="AW467" i="1"/>
  <c r="BI459" i="1"/>
  <c r="AC459" i="1" s="1"/>
  <c r="I455" i="1"/>
  <c r="AW455" i="1"/>
  <c r="BC455" i="1" s="1"/>
  <c r="BH455" i="1"/>
  <c r="AB455" i="1" s="1"/>
  <c r="AW444" i="1"/>
  <c r="I444" i="1"/>
  <c r="AW440" i="1"/>
  <c r="BH440" i="1"/>
  <c r="AB440" i="1" s="1"/>
  <c r="I440" i="1"/>
  <c r="AW421" i="1"/>
  <c r="AT420" i="1"/>
  <c r="I418" i="1"/>
  <c r="BH418" i="1"/>
  <c r="AB418" i="1" s="1"/>
  <c r="AX407" i="1"/>
  <c r="BI407" i="1"/>
  <c r="AC407" i="1" s="1"/>
  <c r="BH405" i="1"/>
  <c r="AB405" i="1" s="1"/>
  <c r="AS402" i="1"/>
  <c r="J396" i="1"/>
  <c r="AX396" i="1"/>
  <c r="BI396" i="1"/>
  <c r="AC396" i="1" s="1"/>
  <c r="J388" i="1"/>
  <c r="AX388" i="1"/>
  <c r="BI388" i="1"/>
  <c r="AC388" i="1" s="1"/>
  <c r="AS380" i="1"/>
  <c r="AX335" i="1"/>
  <c r="BC335" i="1" s="1"/>
  <c r="BI335" i="1"/>
  <c r="AE335" i="1" s="1"/>
  <c r="J335" i="1"/>
  <c r="AX319" i="1"/>
  <c r="AX298" i="1"/>
  <c r="J293" i="1"/>
  <c r="AU252" i="1"/>
  <c r="AT222" i="1"/>
  <c r="J220" i="1"/>
  <c r="BI220" i="1"/>
  <c r="AX200" i="1"/>
  <c r="BC200" i="1" s="1"/>
  <c r="BI200" i="1"/>
  <c r="AE200" i="1" s="1"/>
  <c r="J200" i="1"/>
  <c r="I194" i="1"/>
  <c r="BH194" i="1"/>
  <c r="AD194" i="1" s="1"/>
  <c r="BC183" i="1"/>
  <c r="AW177" i="1"/>
  <c r="I409" i="1"/>
  <c r="AT402" i="1"/>
  <c r="BC390" i="1"/>
  <c r="K362" i="1"/>
  <c r="AL363" i="1"/>
  <c r="AU362" i="1" s="1"/>
  <c r="AV360" i="1"/>
  <c r="J325" i="1"/>
  <c r="AS300" i="1"/>
  <c r="AW319" i="1"/>
  <c r="BH319" i="1"/>
  <c r="AD319" i="1" s="1"/>
  <c r="J301" i="1"/>
  <c r="AW298" i="1"/>
  <c r="BH298" i="1"/>
  <c r="AD298" i="1" s="1"/>
  <c r="AV270" i="1"/>
  <c r="AW246" i="1"/>
  <c r="BH246" i="1"/>
  <c r="AD246" i="1" s="1"/>
  <c r="AX216" i="1"/>
  <c r="AV216" i="1" s="1"/>
  <c r="BI216" i="1"/>
  <c r="AE216" i="1" s="1"/>
  <c r="J143" i="1"/>
  <c r="AX143" i="1"/>
  <c r="J78" i="1"/>
  <c r="AX78" i="1"/>
  <c r="BI78" i="1"/>
  <c r="AC78" i="1" s="1"/>
  <c r="AW76" i="1"/>
  <c r="I76" i="1"/>
  <c r="AX74" i="1"/>
  <c r="BC74" i="1" s="1"/>
  <c r="BI74" i="1"/>
  <c r="AC74" i="1" s="1"/>
  <c r="J74" i="1"/>
  <c r="AL55" i="1"/>
  <c r="AU54" i="1" s="1"/>
  <c r="K54" i="1"/>
  <c r="AX16" i="1"/>
  <c r="BI16" i="1"/>
  <c r="AC16" i="1" s="1"/>
  <c r="J16" i="1"/>
  <c r="J15" i="1" s="1"/>
  <c r="AS420" i="1"/>
  <c r="BI405" i="1"/>
  <c r="AC405" i="1" s="1"/>
  <c r="K402" i="1"/>
  <c r="AT380" i="1"/>
  <c r="AW365" i="1"/>
  <c r="AV365" i="1" s="1"/>
  <c r="BH333" i="1"/>
  <c r="AD333" i="1" s="1"/>
  <c r="AW333" i="1"/>
  <c r="BI325" i="1"/>
  <c r="AE325" i="1" s="1"/>
  <c r="AW293" i="1"/>
  <c r="BC293" i="1" s="1"/>
  <c r="BH293" i="1"/>
  <c r="AD293" i="1" s="1"/>
  <c r="I293" i="1"/>
  <c r="I278" i="1"/>
  <c r="BH278" i="1"/>
  <c r="AD278" i="1" s="1"/>
  <c r="BH265" i="1"/>
  <c r="AD265" i="1" s="1"/>
  <c r="AW265" i="1"/>
  <c r="BC265" i="1" s="1"/>
  <c r="BC260" i="1"/>
  <c r="I246" i="1"/>
  <c r="I234" i="1"/>
  <c r="AW234" i="1"/>
  <c r="BH234" i="1"/>
  <c r="J218" i="1"/>
  <c r="I206" i="1"/>
  <c r="BH206" i="1"/>
  <c r="AD206" i="1" s="1"/>
  <c r="AW202" i="1"/>
  <c r="BC202" i="1" s="1"/>
  <c r="BH202" i="1"/>
  <c r="AD202" i="1" s="1"/>
  <c r="BC192" i="1"/>
  <c r="AV192" i="1"/>
  <c r="AX183" i="1"/>
  <c r="AV183" i="1" s="1"/>
  <c r="BI183" i="1"/>
  <c r="AC183" i="1" s="1"/>
  <c r="I55" i="1"/>
  <c r="I54" i="1" s="1"/>
  <c r="AX44" i="1"/>
  <c r="BI44" i="1"/>
  <c r="AC44" i="1" s="1"/>
  <c r="J44" i="1"/>
  <c r="AS362" i="1"/>
  <c r="J365" i="1"/>
  <c r="J362" i="1" s="1"/>
  <c r="I262" i="1"/>
  <c r="BH244" i="1"/>
  <c r="AD244" i="1" s="1"/>
  <c r="AW244" i="1"/>
  <c r="AW218" i="1"/>
  <c r="AV212" i="1"/>
  <c r="J202" i="1"/>
  <c r="BI177" i="1"/>
  <c r="AC177" i="1" s="1"/>
  <c r="AW173" i="1"/>
  <c r="J168" i="1"/>
  <c r="AX168" i="1"/>
  <c r="BC168" i="1" s="1"/>
  <c r="BI168" i="1"/>
  <c r="AC168" i="1" s="1"/>
  <c r="AV163" i="1"/>
  <c r="AV123" i="1"/>
  <c r="AW83" i="1"/>
  <c r="AV83" i="1" s="1"/>
  <c r="AW72" i="1"/>
  <c r="AV72" i="1" s="1"/>
  <c r="AX35" i="1"/>
  <c r="J35" i="1"/>
  <c r="J34" i="1" s="1"/>
  <c r="J26" i="1"/>
  <c r="AX26" i="1"/>
  <c r="AX48" i="1"/>
  <c r="J48" i="1"/>
  <c r="K12" i="1"/>
  <c r="AS269" i="1"/>
  <c r="AX223" i="1"/>
  <c r="BI223" i="1"/>
  <c r="AE223" i="1" s="1"/>
  <c r="J223" i="1"/>
  <c r="I218" i="1"/>
  <c r="AW51" i="1"/>
  <c r="I51" i="1"/>
  <c r="AW41" i="1"/>
  <c r="I41" i="1"/>
  <c r="I40" i="1" s="1"/>
  <c r="I163" i="1"/>
  <c r="J83" i="1"/>
  <c r="J64" i="1"/>
  <c r="AT25" i="1"/>
  <c r="BH23" i="1"/>
  <c r="AB23" i="1" s="1"/>
  <c r="AW23" i="1"/>
  <c r="J19" i="1"/>
  <c r="J13" i="1"/>
  <c r="AT186" i="1"/>
  <c r="BH163" i="1"/>
  <c r="AB163" i="1" s="1"/>
  <c r="BH143" i="1"/>
  <c r="AB143" i="1" s="1"/>
  <c r="AW143" i="1"/>
  <c r="AV143" i="1" s="1"/>
  <c r="BI123" i="1"/>
  <c r="AC123" i="1" s="1"/>
  <c r="J123" i="1"/>
  <c r="BI83" i="1"/>
  <c r="AC83" i="1" s="1"/>
  <c r="BI72" i="1"/>
  <c r="AC72" i="1" s="1"/>
  <c r="AV55" i="1"/>
  <c r="AW44" i="1"/>
  <c r="AT43" i="1"/>
  <c r="BI30" i="1"/>
  <c r="AC30" i="1" s="1"/>
  <c r="AS25" i="1"/>
  <c r="AV13" i="1"/>
  <c r="AU477" i="1"/>
  <c r="AU420" i="1"/>
  <c r="K420" i="1"/>
  <c r="AX339" i="1"/>
  <c r="I323" i="1"/>
  <c r="AW323" i="1"/>
  <c r="J321" i="1"/>
  <c r="AX321" i="1"/>
  <c r="J295" i="1"/>
  <c r="AX295" i="1"/>
  <c r="AX282" i="1"/>
  <c r="J267" i="1"/>
  <c r="AX267" i="1"/>
  <c r="AT252" i="1"/>
  <c r="K252" i="1"/>
  <c r="AX250" i="1"/>
  <c r="AL242" i="1"/>
  <c r="AU239" i="1" s="1"/>
  <c r="K239" i="1"/>
  <c r="J240" i="1"/>
  <c r="AX240" i="1"/>
  <c r="AS239" i="1"/>
  <c r="AX210" i="1"/>
  <c r="AV210" i="1" s="1"/>
  <c r="J210" i="1"/>
  <c r="BI210" i="1"/>
  <c r="AE210" i="1" s="1"/>
  <c r="I208" i="1"/>
  <c r="AW208" i="1"/>
  <c r="BH208" i="1"/>
  <c r="AD208" i="1" s="1"/>
  <c r="AV194" i="1"/>
  <c r="BC194" i="1"/>
  <c r="AX179" i="1"/>
  <c r="AV179" i="1" s="1"/>
  <c r="J179" i="1"/>
  <c r="BI179" i="1"/>
  <c r="AC179" i="1" s="1"/>
  <c r="I145" i="1"/>
  <c r="AW145" i="1"/>
  <c r="BH145" i="1"/>
  <c r="AB145" i="1" s="1"/>
  <c r="I59" i="1"/>
  <c r="I58" i="1" s="1"/>
  <c r="AW59" i="1"/>
  <c r="BH59" i="1"/>
  <c r="AB59" i="1" s="1"/>
  <c r="BI510" i="1"/>
  <c r="K477" i="1"/>
  <c r="I255" i="1"/>
  <c r="I252" i="1" s="1"/>
  <c r="AW255" i="1"/>
  <c r="J253" i="1"/>
  <c r="AX253" i="1"/>
  <c r="AU186" i="1"/>
  <c r="BI520" i="1"/>
  <c r="BI505" i="1"/>
  <c r="AC505" i="1" s="1"/>
  <c r="BI386" i="1"/>
  <c r="AC386" i="1" s="1"/>
  <c r="K354" i="1"/>
  <c r="AU300" i="1"/>
  <c r="I229" i="1"/>
  <c r="AW229" i="1"/>
  <c r="AV198" i="1"/>
  <c r="AT69" i="1"/>
  <c r="AU12" i="1"/>
  <c r="BC534" i="1"/>
  <c r="AW530" i="1"/>
  <c r="AX528" i="1"/>
  <c r="AW522" i="1"/>
  <c r="AX520" i="1"/>
  <c r="AX510" i="1"/>
  <c r="AW507" i="1"/>
  <c r="AX505" i="1"/>
  <c r="AW495" i="1"/>
  <c r="AX493" i="1"/>
  <c r="AV488" i="1"/>
  <c r="AW486" i="1"/>
  <c r="AX484" i="1"/>
  <c r="AX475" i="1"/>
  <c r="AW469" i="1"/>
  <c r="AX467" i="1"/>
  <c r="AW453" i="1"/>
  <c r="AX444" i="1"/>
  <c r="AV426" i="1"/>
  <c r="AW424" i="1"/>
  <c r="AX421" i="1"/>
  <c r="AW418" i="1"/>
  <c r="AX409" i="1"/>
  <c r="AV405" i="1"/>
  <c r="AW403" i="1"/>
  <c r="AL403" i="1"/>
  <c r="AU402" i="1" s="1"/>
  <c r="AV400" i="1"/>
  <c r="AW396" i="1"/>
  <c r="AX394" i="1"/>
  <c r="AV390" i="1"/>
  <c r="AW388" i="1"/>
  <c r="AL388" i="1"/>
  <c r="AU380" i="1" s="1"/>
  <c r="AX386" i="1"/>
  <c r="AX376" i="1"/>
  <c r="BI360" i="1"/>
  <c r="BH355" i="1"/>
  <c r="AD355" i="1" s="1"/>
  <c r="AX355" i="1"/>
  <c r="AL355" i="1"/>
  <c r="AU354" i="1" s="1"/>
  <c r="BH352" i="1"/>
  <c r="AW352" i="1"/>
  <c r="AW350" i="1"/>
  <c r="BI348" i="1"/>
  <c r="AE348" i="1" s="1"/>
  <c r="AV344" i="1"/>
  <c r="I339" i="1"/>
  <c r="AW339" i="1"/>
  <c r="J337" i="1"/>
  <c r="AX337" i="1"/>
  <c r="BH323" i="1"/>
  <c r="AD323" i="1" s="1"/>
  <c r="AX323" i="1"/>
  <c r="BH301" i="1"/>
  <c r="AD301" i="1" s="1"/>
  <c r="AW301" i="1"/>
  <c r="I282" i="1"/>
  <c r="AW282" i="1"/>
  <c r="J278" i="1"/>
  <c r="AX278" i="1"/>
  <c r="AU269" i="1"/>
  <c r="AL263" i="1"/>
  <c r="AU262" i="1" s="1"/>
  <c r="BH258" i="1"/>
  <c r="AD258" i="1" s="1"/>
  <c r="AW258" i="1"/>
  <c r="BI255" i="1"/>
  <c r="AE255" i="1" s="1"/>
  <c r="BI253" i="1"/>
  <c r="AE253" i="1" s="1"/>
  <c r="I250" i="1"/>
  <c r="AW250" i="1"/>
  <c r="J248" i="1"/>
  <c r="AX248" i="1"/>
  <c r="I242" i="1"/>
  <c r="AW242" i="1"/>
  <c r="BI240" i="1"/>
  <c r="AE240" i="1" s="1"/>
  <c r="AW220" i="1"/>
  <c r="BH220" i="1"/>
  <c r="J187" i="1"/>
  <c r="AX187" i="1"/>
  <c r="AV187" i="1" s="1"/>
  <c r="BI187" i="1"/>
  <c r="AE187" i="1" s="1"/>
  <c r="AS186" i="1"/>
  <c r="I160" i="1"/>
  <c r="AW160" i="1"/>
  <c r="BH160" i="1"/>
  <c r="AB160" i="1" s="1"/>
  <c r="J102" i="1"/>
  <c r="AX102" i="1"/>
  <c r="AX51" i="1"/>
  <c r="J51" i="1"/>
  <c r="BI51" i="1"/>
  <c r="AC51" i="1" s="1"/>
  <c r="I16" i="1"/>
  <c r="I15" i="1" s="1"/>
  <c r="AW16" i="1"/>
  <c r="BH16" i="1"/>
  <c r="AB16" i="1" s="1"/>
  <c r="I348" i="1"/>
  <c r="AW348" i="1"/>
  <c r="J346" i="1"/>
  <c r="AX346" i="1"/>
  <c r="BC325" i="1"/>
  <c r="K236" i="1"/>
  <c r="AL237" i="1"/>
  <c r="AU236" i="1" s="1"/>
  <c r="J360" i="1"/>
  <c r="J354" i="1" s="1"/>
  <c r="AW355" i="1"/>
  <c r="BH348" i="1"/>
  <c r="AD348" i="1" s="1"/>
  <c r="AX348" i="1"/>
  <c r="BH342" i="1"/>
  <c r="AD342" i="1" s="1"/>
  <c r="AW342" i="1"/>
  <c r="BI339" i="1"/>
  <c r="AE339" i="1" s="1"/>
  <c r="I331" i="1"/>
  <c r="AW331" i="1"/>
  <c r="J329" i="1"/>
  <c r="AX329" i="1"/>
  <c r="K300" i="1"/>
  <c r="BH284" i="1"/>
  <c r="AD284" i="1" s="1"/>
  <c r="AW284" i="1"/>
  <c r="BI282" i="1"/>
  <c r="AE282" i="1" s="1"/>
  <c r="AT269" i="1"/>
  <c r="K269" i="1"/>
  <c r="BH263" i="1"/>
  <c r="AD263" i="1" s="1"/>
  <c r="AW263" i="1"/>
  <c r="BH255" i="1"/>
  <c r="AD255" i="1" s="1"/>
  <c r="AX255" i="1"/>
  <c r="BI250" i="1"/>
  <c r="AT239" i="1"/>
  <c r="I237" i="1"/>
  <c r="I236" i="1" s="1"/>
  <c r="AW237" i="1"/>
  <c r="J225" i="1"/>
  <c r="AX225" i="1"/>
  <c r="AU222" i="1"/>
  <c r="K222" i="1"/>
  <c r="I214" i="1"/>
  <c r="AW214" i="1"/>
  <c r="BH214" i="1"/>
  <c r="AD214" i="1" s="1"/>
  <c r="J196" i="1"/>
  <c r="AX196" i="1"/>
  <c r="BI196" i="1"/>
  <c r="AE196" i="1" s="1"/>
  <c r="AX173" i="1"/>
  <c r="J173" i="1"/>
  <c r="BI173" i="1"/>
  <c r="AC173" i="1" s="1"/>
  <c r="C21" i="2"/>
  <c r="I35" i="1"/>
  <c r="I34" i="1" s="1"/>
  <c r="AW35" i="1"/>
  <c r="BH35" i="1"/>
  <c r="AB35" i="1" s="1"/>
  <c r="I212" i="1"/>
  <c r="AV67" i="1"/>
  <c r="BC67" i="1"/>
  <c r="AS19" i="1"/>
  <c r="C27" i="2"/>
  <c r="I48" i="1"/>
  <c r="I12" i="1" s="1"/>
  <c r="AW48" i="1"/>
  <c r="BH48" i="1"/>
  <c r="AB48" i="1" s="1"/>
  <c r="C20" i="2"/>
  <c r="C28" i="2"/>
  <c r="F28" i="2" s="1"/>
  <c r="C19" i="2"/>
  <c r="AX220" i="1"/>
  <c r="AX214" i="1"/>
  <c r="AW206" i="1"/>
  <c r="I196" i="1"/>
  <c r="K186" i="1"/>
  <c r="J163" i="1"/>
  <c r="J126" i="1"/>
  <c r="BI126" i="1"/>
  <c r="AC126" i="1" s="1"/>
  <c r="AW102" i="1"/>
  <c r="I102" i="1"/>
  <c r="BH102" i="1"/>
  <c r="AB102" i="1" s="1"/>
  <c r="AW70" i="1"/>
  <c r="I70" i="1"/>
  <c r="BH70" i="1"/>
  <c r="AB70" i="1" s="1"/>
  <c r="J37" i="1"/>
  <c r="AW26" i="1"/>
  <c r="I26" i="1"/>
  <c r="I25" i="1" s="1"/>
  <c r="BH26" i="1"/>
  <c r="AB26" i="1" s="1"/>
  <c r="I204" i="1"/>
  <c r="I168" i="1"/>
  <c r="I141" i="1"/>
  <c r="AW141" i="1"/>
  <c r="AX100" i="1"/>
  <c r="J100" i="1"/>
  <c r="AX76" i="1"/>
  <c r="AV76" i="1" s="1"/>
  <c r="J76" i="1"/>
  <c r="AL70" i="1"/>
  <c r="AU69" i="1" s="1"/>
  <c r="K69" i="1"/>
  <c r="AL65" i="1"/>
  <c r="AU64" i="1" s="1"/>
  <c r="K64" i="1"/>
  <c r="K58" i="1"/>
  <c r="AL59" i="1"/>
  <c r="AU58" i="1" s="1"/>
  <c r="AL26" i="1"/>
  <c r="AU25" i="1" s="1"/>
  <c r="K25" i="1"/>
  <c r="AL20" i="1"/>
  <c r="AU19" i="1" s="1"/>
  <c r="K19" i="1"/>
  <c r="K15" i="1"/>
  <c r="AL16" i="1"/>
  <c r="AU15" i="1" s="1"/>
  <c r="AW78" i="1"/>
  <c r="I78" i="1"/>
  <c r="AS69" i="1"/>
  <c r="AX41" i="1"/>
  <c r="J41" i="1"/>
  <c r="J40" i="1" s="1"/>
  <c r="I37" i="1"/>
  <c r="BC13" i="1"/>
  <c r="C18" i="2"/>
  <c r="AW65" i="1"/>
  <c r="I65" i="1"/>
  <c r="I64" i="1" s="1"/>
  <c r="AU43" i="1"/>
  <c r="AU37" i="1"/>
  <c r="AW20" i="1"/>
  <c r="I20" i="1"/>
  <c r="I19" i="1" s="1"/>
  <c r="BC72" i="1" l="1"/>
  <c r="I239" i="1"/>
  <c r="AV524" i="1"/>
  <c r="I222" i="1"/>
  <c r="AV513" i="1"/>
  <c r="AV23" i="1"/>
  <c r="J402" i="1"/>
  <c r="BC357" i="1"/>
  <c r="I402" i="1"/>
  <c r="AV471" i="1"/>
  <c r="AV223" i="1"/>
  <c r="BC173" i="1"/>
  <c r="AV407" i="1"/>
  <c r="BC381" i="1"/>
  <c r="AV500" i="1"/>
  <c r="BC471" i="1"/>
  <c r="J420" i="1"/>
  <c r="J515" i="1"/>
  <c r="BC532" i="1"/>
  <c r="J43" i="1"/>
  <c r="AV173" i="1"/>
  <c r="BC223" i="1"/>
  <c r="BC234" i="1"/>
  <c r="AV333" i="1"/>
  <c r="BC76" i="1"/>
  <c r="BC143" i="1"/>
  <c r="AV74" i="1"/>
  <c r="BC179" i="1"/>
  <c r="BC210" i="1"/>
  <c r="AV293" i="1"/>
  <c r="AV200" i="1"/>
  <c r="BC333" i="1"/>
  <c r="BC23" i="1"/>
  <c r="J12" i="1"/>
  <c r="AV202" i="1"/>
  <c r="BC244" i="1"/>
  <c r="I477" i="1"/>
  <c r="BC30" i="1"/>
  <c r="J269" i="1"/>
  <c r="AV516" i="1"/>
  <c r="BC44" i="1"/>
  <c r="I420" i="1"/>
  <c r="BC407" i="1"/>
  <c r="AV265" i="1"/>
  <c r="J252" i="1"/>
  <c r="I186" i="1"/>
  <c r="I43" i="1"/>
  <c r="AV244" i="1"/>
  <c r="BC365" i="1"/>
  <c r="J380" i="1"/>
  <c r="I380" i="1"/>
  <c r="J262" i="1"/>
  <c r="BC440" i="1"/>
  <c r="AV440" i="1"/>
  <c r="BC518" i="1"/>
  <c r="AV518" i="1"/>
  <c r="BC204" i="1"/>
  <c r="AV204" i="1"/>
  <c r="BC216" i="1"/>
  <c r="AV234" i="1"/>
  <c r="I269" i="1"/>
  <c r="C17" i="2"/>
  <c r="AV168" i="1"/>
  <c r="BC319" i="1"/>
  <c r="AV319" i="1"/>
  <c r="AV335" i="1"/>
  <c r="AV381" i="1"/>
  <c r="BC117" i="1"/>
  <c r="AV117" i="1"/>
  <c r="AV32" i="1"/>
  <c r="J222" i="1"/>
  <c r="J69" i="1"/>
  <c r="AV98" i="1"/>
  <c r="I300" i="1"/>
  <c r="AV455" i="1"/>
  <c r="BC83" i="1"/>
  <c r="C16" i="2"/>
  <c r="J239" i="1"/>
  <c r="BC246" i="1"/>
  <c r="AV246" i="1"/>
  <c r="BC298" i="1"/>
  <c r="AV298" i="1"/>
  <c r="J25" i="1"/>
  <c r="BC478" i="1"/>
  <c r="AV478" i="1"/>
  <c r="J300" i="1"/>
  <c r="AV44" i="1"/>
  <c r="BC526" i="1"/>
  <c r="AV526" i="1"/>
  <c r="BC327" i="1"/>
  <c r="AV327" i="1"/>
  <c r="C15" i="2"/>
  <c r="BC187" i="1"/>
  <c r="BC218" i="1"/>
  <c r="AV218" i="1"/>
  <c r="BC177" i="1"/>
  <c r="AV177" i="1"/>
  <c r="BC363" i="1"/>
  <c r="AV363" i="1"/>
  <c r="BC392" i="1"/>
  <c r="AV392" i="1"/>
  <c r="BC490" i="1"/>
  <c r="AV490" i="1"/>
  <c r="BC459" i="1"/>
  <c r="AV459" i="1"/>
  <c r="BC248" i="1"/>
  <c r="AV248" i="1"/>
  <c r="BC41" i="1"/>
  <c r="AV41" i="1"/>
  <c r="AV78" i="1"/>
  <c r="BC78" i="1"/>
  <c r="AV100" i="1"/>
  <c r="BC100" i="1"/>
  <c r="AV70" i="1"/>
  <c r="BC70" i="1"/>
  <c r="AV102" i="1"/>
  <c r="BC102" i="1"/>
  <c r="AV206" i="1"/>
  <c r="BC206" i="1"/>
  <c r="AV48" i="1"/>
  <c r="BC48" i="1"/>
  <c r="BC284" i="1"/>
  <c r="AV284" i="1"/>
  <c r="BC342" i="1"/>
  <c r="AV342" i="1"/>
  <c r="AV355" i="1"/>
  <c r="BC355" i="1"/>
  <c r="AV348" i="1"/>
  <c r="BC348" i="1"/>
  <c r="J186" i="1"/>
  <c r="BC258" i="1"/>
  <c r="AV258" i="1"/>
  <c r="AV339" i="1"/>
  <c r="BC339" i="1"/>
  <c r="AV350" i="1"/>
  <c r="BC350" i="1"/>
  <c r="BC386" i="1"/>
  <c r="AV386" i="1"/>
  <c r="BC394" i="1"/>
  <c r="AV394" i="1"/>
  <c r="AV403" i="1"/>
  <c r="BC403" i="1"/>
  <c r="BC421" i="1"/>
  <c r="AV421" i="1"/>
  <c r="AV453" i="1"/>
  <c r="BC453" i="1"/>
  <c r="BC505" i="1"/>
  <c r="AV505" i="1"/>
  <c r="BC520" i="1"/>
  <c r="AV520" i="1"/>
  <c r="AV530" i="1"/>
  <c r="BC530" i="1"/>
  <c r="AV229" i="1"/>
  <c r="BC229" i="1"/>
  <c r="AV240" i="1"/>
  <c r="BC240" i="1"/>
  <c r="AV321" i="1"/>
  <c r="BC321" i="1"/>
  <c r="AV237" i="1"/>
  <c r="BC237" i="1"/>
  <c r="AV331" i="1"/>
  <c r="BC331" i="1"/>
  <c r="BC352" i="1"/>
  <c r="AV352" i="1"/>
  <c r="BC475" i="1"/>
  <c r="AV475" i="1"/>
  <c r="AV507" i="1"/>
  <c r="BC507" i="1"/>
  <c r="AV522" i="1"/>
  <c r="BC522" i="1"/>
  <c r="AV59" i="1"/>
  <c r="BC59" i="1"/>
  <c r="AV267" i="1"/>
  <c r="BC267" i="1"/>
  <c r="AV295" i="1"/>
  <c r="BC295" i="1"/>
  <c r="AV65" i="1"/>
  <c r="BC65" i="1"/>
  <c r="K536" i="1"/>
  <c r="BC346" i="1"/>
  <c r="AV346" i="1"/>
  <c r="AV220" i="1"/>
  <c r="BC220" i="1"/>
  <c r="BC301" i="1"/>
  <c r="AV301" i="1"/>
  <c r="BC337" i="1"/>
  <c r="AV337" i="1"/>
  <c r="AV388" i="1"/>
  <c r="BC388" i="1"/>
  <c r="BC409" i="1"/>
  <c r="AV409" i="1"/>
  <c r="BC467" i="1"/>
  <c r="AV467" i="1"/>
  <c r="BC484" i="1"/>
  <c r="AV484" i="1"/>
  <c r="AV495" i="1"/>
  <c r="BC495" i="1"/>
  <c r="BC510" i="1"/>
  <c r="AV510" i="1"/>
  <c r="BC208" i="1"/>
  <c r="AV208" i="1"/>
  <c r="AV323" i="1"/>
  <c r="BC323" i="1"/>
  <c r="AV141" i="1"/>
  <c r="BC141" i="1"/>
  <c r="BC278" i="1"/>
  <c r="AV278" i="1"/>
  <c r="AV396" i="1"/>
  <c r="BC396" i="1"/>
  <c r="AV424" i="1"/>
  <c r="BC424" i="1"/>
  <c r="BC493" i="1"/>
  <c r="AV493" i="1"/>
  <c r="BC253" i="1"/>
  <c r="AV253" i="1"/>
  <c r="AV20" i="1"/>
  <c r="BC20" i="1"/>
  <c r="AV26" i="1"/>
  <c r="BC26" i="1"/>
  <c r="I69" i="1"/>
  <c r="C14" i="2"/>
  <c r="AV35" i="1"/>
  <c r="BC35" i="1"/>
  <c r="BC196" i="1"/>
  <c r="AV196" i="1"/>
  <c r="AV214" i="1"/>
  <c r="BC214" i="1"/>
  <c r="AV225" i="1"/>
  <c r="BC225" i="1"/>
  <c r="BC263" i="1"/>
  <c r="AV263" i="1"/>
  <c r="AV329" i="1"/>
  <c r="BC329" i="1"/>
  <c r="AV16" i="1"/>
  <c r="BC16" i="1"/>
  <c r="BC51" i="1"/>
  <c r="AV51" i="1"/>
  <c r="BC160" i="1"/>
  <c r="AV160" i="1"/>
  <c r="AV242" i="1"/>
  <c r="BC242" i="1"/>
  <c r="AV250" i="1"/>
  <c r="BC250" i="1"/>
  <c r="AV282" i="1"/>
  <c r="BC282" i="1"/>
  <c r="BC376" i="1"/>
  <c r="AV376" i="1"/>
  <c r="AV418" i="1"/>
  <c r="BC418" i="1"/>
  <c r="BC444" i="1"/>
  <c r="AV444" i="1"/>
  <c r="AV469" i="1"/>
  <c r="BC469" i="1"/>
  <c r="AV486" i="1"/>
  <c r="BC486" i="1"/>
  <c r="BC528" i="1"/>
  <c r="AV528" i="1"/>
  <c r="C29" i="2"/>
  <c r="F29" i="2" s="1"/>
  <c r="AV255" i="1"/>
  <c r="BC255" i="1"/>
  <c r="AV145" i="1"/>
  <c r="BC145" i="1"/>
  <c r="C22" i="2" l="1"/>
  <c r="I28" i="2"/>
  <c r="I29" i="2" s="1"/>
</calcChain>
</file>

<file path=xl/sharedStrings.xml><?xml version="1.0" encoding="utf-8"?>
<sst xmlns="http://schemas.openxmlformats.org/spreadsheetml/2006/main" count="1978" uniqueCount="952">
  <si>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</si>
  <si>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</si>
  <si>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</si>
  <si>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</si>
  <si>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</si>
  <si>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</si>
  <si>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</si>
  <si>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</si>
  <si>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</si>
  <si>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</si>
  <si>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</si>
  <si>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</si>
  <si>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</si>
  <si>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</si>
  <si>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</si>
  <si>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</si>
  <si>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</si>
  <si>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</si>
  <si>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</si>
  <si>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</si>
  <si>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</si>
  <si>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</si>
  <si>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</si>
  <si>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</si>
  <si>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</si>
  <si>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</si>
  <si>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</si>
  <si>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</si>
  <si>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</si>
  <si>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</si>
  <si>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</si>
  <si>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</si>
  <si>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</si>
  <si>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</si>
  <si>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</si>
  <si>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</si>
  <si>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</si>
  <si>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</si>
  <si>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</si>
  <si>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</si>
  <si>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</si>
  <si>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</si>
  <si>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</si>
  <si>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</si>
  <si>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</si>
  <si>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</si>
  <si>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</si>
  <si>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</si>
  <si>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</si>
  <si>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</si>
  <si>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</si>
  <si>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</si>
  <si>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</si>
  <si>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</si>
  <si>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</si>
  <si>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</si>
  <si>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</si>
  <si>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</si>
  <si>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</si>
  <si>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</si>
  <si>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</si>
  <si>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</si>
  <si>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</si>
  <si>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</si>
  <si>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</si>
  <si>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</si>
  <si>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</si>
  <si>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</si>
  <si>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</si>
  <si>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</si>
  <si>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</si>
  <si>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</si>
  <si>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</si>
  <si>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</si>
  <si>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</si>
  <si>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</si>
  <si>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</si>
  <si>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</si>
  <si>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</si>
  <si>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</si>
  <si>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</si>
  <si>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</si>
  <si>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</si>
  <si>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</si>
  <si>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</si>
  <si>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</si>
  <si>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</si>
  <si>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</si>
  <si>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</si>
  <si>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</si>
  <si>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</si>
  <si>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</si>
  <si>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</si>
  <si>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</si>
  <si>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</si>
  <si>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</si>
  <si>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</si>
  <si>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</si>
  <si>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</si>
  <si>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</si>
  <si>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</si>
  <si>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</si>
  <si>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</si>
  <si>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</si>
  <si>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</si>
  <si>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</si>
  <si>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</si>
  <si>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</si>
  <si>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</si>
  <si>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</si>
  <si>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</si>
  <si>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</si>
  <si>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</si>
  <si>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</si>
  <si>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</si>
  <si>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</si>
  <si>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</si>
  <si>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</si>
  <si>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</si>
  <si>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</si>
  <si>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</si>
  <si>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</si>
  <si>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</si>
  <si>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</si>
  <si>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</si>
  <si>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</si>
  <si>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</si>
  <si>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</si>
  <si>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</si>
  <si>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</si>
  <si>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</si>
  <si>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</si>
  <si>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</si>
  <si>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</si>
  <si>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</si>
  <si>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</si>
  <si>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</si>
  <si>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</si>
  <si>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</si>
  <si>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</si>
  <si>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</si>
  <si>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</si>
  <si>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</si>
  <si>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</si>
  <si>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</si>
  <si>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</si>
  <si>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</si>
  <si>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</si>
  <si>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</si>
  <si>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</si>
  <si>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</si>
  <si>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</si>
  <si>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</si>
  <si>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</si>
  <si>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</si>
  <si>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</si>
  <si>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</si>
  <si>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</si>
  <si>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</si>
  <si>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Poznámka:</t>
  </si>
  <si>
    <t>Kód</t>
  </si>
  <si>
    <t>954312305R00</t>
  </si>
  <si>
    <t>100001500R00</t>
  </si>
  <si>
    <t>139600013RA0</t>
  </si>
  <si>
    <t>167101101R00</t>
  </si>
  <si>
    <t>162701105R00</t>
  </si>
  <si>
    <t>174101101R00</t>
  </si>
  <si>
    <t>171201201R00</t>
  </si>
  <si>
    <t>199000002R00</t>
  </si>
  <si>
    <t>202110015VD</t>
  </si>
  <si>
    <t>278381541R00</t>
  </si>
  <si>
    <t>342264051RT1</t>
  </si>
  <si>
    <t>954313305R00</t>
  </si>
  <si>
    <t>596100030RA0</t>
  </si>
  <si>
    <t>602011211R00</t>
  </si>
  <si>
    <t>612100020RA0</t>
  </si>
  <si>
    <t>612425931R00</t>
  </si>
  <si>
    <t>622421493R00</t>
  </si>
  <si>
    <t>622311524RV1</t>
  </si>
  <si>
    <t>622311734RT3</t>
  </si>
  <si>
    <t>622311134RT3</t>
  </si>
  <si>
    <t>622311353RT3</t>
  </si>
  <si>
    <t>622311563R00</t>
  </si>
  <si>
    <t>622481113R00</t>
  </si>
  <si>
    <t>620991121R00</t>
  </si>
  <si>
    <t>622432111R00</t>
  </si>
  <si>
    <t>622481292R00</t>
  </si>
  <si>
    <t>28350203</t>
  </si>
  <si>
    <t>28350107.A</t>
  </si>
  <si>
    <t>622481291R00</t>
  </si>
  <si>
    <t>55392762</t>
  </si>
  <si>
    <t>622473187RT2</t>
  </si>
  <si>
    <t>622904112R00</t>
  </si>
  <si>
    <t>622401937R00</t>
  </si>
  <si>
    <t>622421131RU2</t>
  </si>
  <si>
    <t>622429991R00</t>
  </si>
  <si>
    <t>622311014R00</t>
  </si>
  <si>
    <t>648952421RT3</t>
  </si>
  <si>
    <t>712</t>
  </si>
  <si>
    <t>712300831R00</t>
  </si>
  <si>
    <t>712300832R00</t>
  </si>
  <si>
    <t>764291410R00</t>
  </si>
  <si>
    <t>712378006R00</t>
  </si>
  <si>
    <t>712378007R00</t>
  </si>
  <si>
    <t>711823129R00</t>
  </si>
  <si>
    <t>58556701.A</t>
  </si>
  <si>
    <t>712378101RT4</t>
  </si>
  <si>
    <t>712110011VD</t>
  </si>
  <si>
    <t>712351111R00</t>
  </si>
  <si>
    <t>62852269</t>
  </si>
  <si>
    <t>712391171R00</t>
  </si>
  <si>
    <t>69366198</t>
  </si>
  <si>
    <t>712472101R00</t>
  </si>
  <si>
    <t>283220012</t>
  </si>
  <si>
    <t>998712102R00</t>
  </si>
  <si>
    <t>713</t>
  </si>
  <si>
    <t>713104222R00</t>
  </si>
  <si>
    <t>713141312R00</t>
  </si>
  <si>
    <t>28375769.A</t>
  </si>
  <si>
    <t>998713102R00</t>
  </si>
  <si>
    <t>721</t>
  </si>
  <si>
    <t>721210823R00</t>
  </si>
  <si>
    <t>728</t>
  </si>
  <si>
    <t>728415816R00</t>
  </si>
  <si>
    <t>728618811R00</t>
  </si>
  <si>
    <t>728618215R00</t>
  </si>
  <si>
    <t>728314111R00</t>
  </si>
  <si>
    <t>553432903</t>
  </si>
  <si>
    <t>998728102R00</t>
  </si>
  <si>
    <t>762</t>
  </si>
  <si>
    <t>762510010RAI</t>
  </si>
  <si>
    <t>60725016</t>
  </si>
  <si>
    <t>762526110RT3</t>
  </si>
  <si>
    <t>998762102R00</t>
  </si>
  <si>
    <t>763</t>
  </si>
  <si>
    <t>763613212R00</t>
  </si>
  <si>
    <t>606233006</t>
  </si>
  <si>
    <t>998763101R00</t>
  </si>
  <si>
    <t>764</t>
  </si>
  <si>
    <t>764900050RA0</t>
  </si>
  <si>
    <t>764321820R00</t>
  </si>
  <si>
    <t>764311831R00</t>
  </si>
  <si>
    <t>764410310RAB</t>
  </si>
  <si>
    <t>764211401R00</t>
  </si>
  <si>
    <t>998764102R00</t>
  </si>
  <si>
    <t>765</t>
  </si>
  <si>
    <t>765321810R00</t>
  </si>
  <si>
    <t>766</t>
  </si>
  <si>
    <t>766629310R00</t>
  </si>
  <si>
    <t>611110032VD</t>
  </si>
  <si>
    <t>611221145VD</t>
  </si>
  <si>
    <t>611110017VD</t>
  </si>
  <si>
    <t>611110018VD</t>
  </si>
  <si>
    <t>611221152VD</t>
  </si>
  <si>
    <t>611221153VD</t>
  </si>
  <si>
    <t>611221154VD</t>
  </si>
  <si>
    <t>611VD</t>
  </si>
  <si>
    <t>611110014VD</t>
  </si>
  <si>
    <t>611110015VD</t>
  </si>
  <si>
    <t>611221155VD</t>
  </si>
  <si>
    <t>611221156VD</t>
  </si>
  <si>
    <t>611221157VD</t>
  </si>
  <si>
    <t>611221158VD</t>
  </si>
  <si>
    <t>611221159VD</t>
  </si>
  <si>
    <t>611112260VD</t>
  </si>
  <si>
    <t>998766102R00</t>
  </si>
  <si>
    <t>767</t>
  </si>
  <si>
    <t>767991103VD</t>
  </si>
  <si>
    <t>001111130VD</t>
  </si>
  <si>
    <t>998767102R00</t>
  </si>
  <si>
    <t>784</t>
  </si>
  <si>
    <t>784433271R00</t>
  </si>
  <si>
    <t>784442021RT2</t>
  </si>
  <si>
    <t>786</t>
  </si>
  <si>
    <t>786221100VD</t>
  </si>
  <si>
    <t>941941042R00</t>
  </si>
  <si>
    <t>941941292R00</t>
  </si>
  <si>
    <t>941941842R00</t>
  </si>
  <si>
    <t>944944011R00</t>
  </si>
  <si>
    <t>944944031R00</t>
  </si>
  <si>
    <t>944944081R00</t>
  </si>
  <si>
    <t>941955001R00</t>
  </si>
  <si>
    <t>998009101R00</t>
  </si>
  <si>
    <t>952901411R00</t>
  </si>
  <si>
    <t>952901110R00</t>
  </si>
  <si>
    <t>952900001VD</t>
  </si>
  <si>
    <t>952900002VD</t>
  </si>
  <si>
    <t>965042131RT2</t>
  </si>
  <si>
    <t>962200041RA0</t>
  </si>
  <si>
    <t>968061112R00</t>
  </si>
  <si>
    <t>968062244R00</t>
  </si>
  <si>
    <t>968061113R00</t>
  </si>
  <si>
    <t>968062245R00</t>
  </si>
  <si>
    <t>968062247R00</t>
  </si>
  <si>
    <t>968062246R00</t>
  </si>
  <si>
    <t>968061125R00</t>
  </si>
  <si>
    <t>968071125R00</t>
  </si>
  <si>
    <t>968111119VD</t>
  </si>
  <si>
    <t>967031732R00</t>
  </si>
  <si>
    <t>968095002R00</t>
  </si>
  <si>
    <t>978059631R00</t>
  </si>
  <si>
    <t>971033341R00</t>
  </si>
  <si>
    <t>971033331R00</t>
  </si>
  <si>
    <t>971033441R00</t>
  </si>
  <si>
    <t>972055341R00</t>
  </si>
  <si>
    <t>971033431R00</t>
  </si>
  <si>
    <t>970251300R00</t>
  </si>
  <si>
    <t>970231150R00</t>
  </si>
  <si>
    <t>970231200R00</t>
  </si>
  <si>
    <t>972055491R00</t>
  </si>
  <si>
    <t>972054691R00</t>
  </si>
  <si>
    <t>H99</t>
  </si>
  <si>
    <t>999281108R00</t>
  </si>
  <si>
    <t>M46</t>
  </si>
  <si>
    <t>460620006RT1</t>
  </si>
  <si>
    <t>S</t>
  </si>
  <si>
    <t>979011111R00</t>
  </si>
  <si>
    <t>979082111R00</t>
  </si>
  <si>
    <t>979082212R00</t>
  </si>
  <si>
    <t>979087113R00</t>
  </si>
  <si>
    <t>979081111R00</t>
  </si>
  <si>
    <t>979081121R00</t>
  </si>
  <si>
    <t>979990121R00</t>
  </si>
  <si>
    <t>979990201R00</t>
  </si>
  <si>
    <t>979990001R00</t>
  </si>
  <si>
    <t>979990144R00</t>
  </si>
  <si>
    <t>SNÍŽENÍ ENERGETICKÉ NÁROČNOSTI BUDOVY 3. ZÁKLADNÍ ŠKOLY, CHEB</t>
  </si>
  <si>
    <t>Objekt 2 - vstup a vedení školy</t>
  </si>
  <si>
    <t>Malé Náměstí 2287/3, 350 02 Cheb</t>
  </si>
  <si>
    <t>Zkrácený popis</t>
  </si>
  <si>
    <t>Rozměry</t>
  </si>
  <si>
    <t>Zemní práce</t>
  </si>
  <si>
    <t>9+6;1np;   </t>
  </si>
  <si>
    <t>5,5+0,75*0,35;2np;   </t>
  </si>
  <si>
    <t>Dočištění stěny</t>
  </si>
  <si>
    <t>62,25;viz zateplení pod terénem;   </t>
  </si>
  <si>
    <t>Hloubené vykopávky</t>
  </si>
  <si>
    <t xml:space="preserve">Ruční odkopání kolem objektu		</t>
  </si>
  <si>
    <t>(9,5+10+7+6+9+7+7,5+5,5+12+6+7+2,5)*0,6*0,3;OCH-1pp;   </t>
  </si>
  <si>
    <t>(23*2+6,5+9+3,5+6+1,5+2+25+8,5+7+7,5+11,5+8)*0,6*0,3;OCH-1np;   </t>
  </si>
  <si>
    <t>Přemístění výkopku</t>
  </si>
  <si>
    <t>Nakládání výkopku z hor.1-4 v množství do 100 m3</t>
  </si>
  <si>
    <t>31,878;viz odkop;   </t>
  </si>
  <si>
    <t>-22,176;viz zásyp;   </t>
  </si>
  <si>
    <t>Vodorovné přemístění výkopku z hor.1-4 do 10000 m</t>
  </si>
  <si>
    <t>9,702;viz nakládání;   </t>
  </si>
  <si>
    <t>Konstrukce ze zemin</t>
  </si>
  <si>
    <t>Zásyp jam, rýh, šachet se zhutněním</t>
  </si>
  <si>
    <t>41,58   </t>
  </si>
  <si>
    <t>-(9,5+10+7+6+9+7+7,5+5,5+12+6+7+2,5)*0,3*0,14;OCH-1pp;   </t>
  </si>
  <si>
    <t>-(23*2+6,5+9+3,5+6+1,5+2+25+8,5+7+7,5+11,5+8)*0,3*0,14;OCH-1np;   </t>
  </si>
  <si>
    <t>Uložení sypaniny na skládku</t>
  </si>
  <si>
    <t>Poplatek za skládku</t>
  </si>
  <si>
    <t>9,702;viz uložení;   </t>
  </si>
  <si>
    <t>Manipulace s nábytkem</t>
  </si>
  <si>
    <t>Manipulace s nábytkem včetně zpětného osazení po úklidu prostor</t>
  </si>
  <si>
    <t>1;nábytek;   </t>
  </si>
  <si>
    <t>Základy</t>
  </si>
  <si>
    <t>Základy pod stroje do 5 m3, C 20/25, složitosti 1</t>
  </si>
  <si>
    <t>1,805*2,76*0,5;pro základ VZT v RZP;   </t>
  </si>
  <si>
    <t>Stěny a příčky</t>
  </si>
  <si>
    <t>Podhled sádrokartonový na zavěšenou ocel. konstr.desky standard tl. 12,5 mm, bez izolace</t>
  </si>
  <si>
    <t>2,7*1,2+(2,7+1,2*2)*0,5;1np;   </t>
  </si>
  <si>
    <t>19,25;222;   </t>
  </si>
  <si>
    <t>1,05*0,5+(1,05+0,5*2)*1;219;   </t>
  </si>
  <si>
    <t>3,3;1np;   </t>
  </si>
  <si>
    <t>3,3;2np;   </t>
  </si>
  <si>
    <t>Kryty pozemních komunikací, letišť a ploch dlážděných (předlažby)</t>
  </si>
  <si>
    <t>Chodník z dlažby betonové, podklad štěrkodrť</t>
  </si>
  <si>
    <t>(9,5+10+7+6+9+7+7,5+5,5+12+6+7+2,5)*0,6;OCH-1pp;   </t>
  </si>
  <si>
    <t>(23*2+6,5+9+3,5+6+1,5+2+25+8,5+7+7,5+11,5+8)*0,6;OCH-1np;   </t>
  </si>
  <si>
    <t>Omítky ze suchých směsí</t>
  </si>
  <si>
    <t>Omítka jádrová</t>
  </si>
  <si>
    <t>(19+1,2)*3,3-(4,2*3,3+1,5*3,3*2+1*3,3)   </t>
  </si>
  <si>
    <t>0,4*0,4*3,2*14+4*0,4*3+0,4*0,4*2   </t>
  </si>
  <si>
    <t>51,88*0,1;ztratné;   </t>
  </si>
  <si>
    <t>;po odstran. kabřince v místě bez KZS;   </t>
  </si>
  <si>
    <t>Úprava povrchů vnitřní</t>
  </si>
  <si>
    <t>Začištění omítek kolem oken a dveří</t>
  </si>
  <si>
    <t>635;viz APU lišta;   </t>
  </si>
  <si>
    <t>Omítka vápenná vnitřního ostění - štuková</t>
  </si>
  <si>
    <t>635*0,5;omítka vnitřního ostění;   </t>
  </si>
  <si>
    <t>Úprava povrchů vnější</t>
  </si>
  <si>
    <t>Doplňky zatepl. systémů, dilatační lišta s tkan.</t>
  </si>
  <si>
    <t>12*2;SP+SR;   </t>
  </si>
  <si>
    <t xml:space="preserve">Zateplovací systém, sokl, XPS tl. 140 mm bez omítky - pod terénem		</t>
  </si>
  <si>
    <t>(15+3,5+30+11+13+25+13+9+13+35+15+6+12+7)*0,3   </t>
  </si>
  <si>
    <t xml:space="preserve">Zateplovací systém, sokl, XPS tl. 140 mm zakončený stěrkou s výztužnou tkaninou - nad terénem		</t>
  </si>
  <si>
    <t>(15+3,5+30+11+13+25+16+9+16+35+13+6+12+7)*0,5   </t>
  </si>
  <si>
    <t>Zatepl.syst., fasáda, miner.desky tl. 140 mm s omítkou Silikon probarvená., zrno 2mm</t>
  </si>
  <si>
    <t>(15+3,5+30+11+15+25+13+9+13+35+13+6+12+7)*1   omítka probarvená zrnitost 2mm, cenu určit za odstín s příplatkem 1</t>
  </si>
  <si>
    <t>Zateplovací systém, fasáda, EPS F tl.140 mm s omítkou Silikon probarvená., zrno 2mm</t>
  </si>
  <si>
    <t>15*3+3,5*6,5+30*8,5+11*10,5+16*7   omítka probarvená zrnitost 2mm, cenu určit za odstín s příplatkem 1</t>
  </si>
  <si>
    <t>25*3+16*3+9*3+16*3+8*3+27*10+15*3   </t>
  </si>
  <si>
    <t>6*10+12*9,5+19*4+7*7   </t>
  </si>
  <si>
    <t>-(2,4*2,4*29+1,5*2,4*21+5,4*2,1*7+2,4*2,1*7);odečet otvorů   </t>
  </si>
  <si>
    <t>Zatepl.systém, ostění a nadpraží, EPS tl. 30 mm probarvená., zrno 2mm</t>
  </si>
  <si>
    <t>(1,2+2,1*2)*0,3*5   omítka probarvená zrnitost 2mm, cenu určit za odstín s příplatkem 1</t>
  </si>
  <si>
    <t>(1,5+1,5*2)*3*0,3   </t>
  </si>
  <si>
    <t>(2,4+2,4*2)*(12+6+2+2+7)*0,3   </t>
  </si>
  <si>
    <t>(1,5+2,4*2)*(6+6+7+7)*0,3   </t>
  </si>
  <si>
    <t>(2,4+2,1*2)*7*0,3   </t>
  </si>
  <si>
    <t>(0,9+2*2)*2*0,3   </t>
  </si>
  <si>
    <t>(0,6+0,6*2)*0,3   </t>
  </si>
  <si>
    <t>(0,9+1,5*2)*0,3   </t>
  </si>
  <si>
    <t>(5,4+2,1*2)*7*0,3   </t>
  </si>
  <si>
    <t>(1,2+2,4*2)*0,3   </t>
  </si>
  <si>
    <t>(3,6+6,8*2)*0,3   </t>
  </si>
  <si>
    <t>(1,2+0,6*2)*0,3   </t>
  </si>
  <si>
    <t>(0,9+2,4*2)*0,3   </t>
  </si>
  <si>
    <t>(0,8+0,6*2)*0,3*2   </t>
  </si>
  <si>
    <t>Zateplovací systém, parapet, XPS tl. 30 mm</t>
  </si>
  <si>
    <t>185,8*0,3;viz oplechování parapetů;   </t>
  </si>
  <si>
    <t xml:space="preserve">Potažení vnějších stěn sklotex. pletivem, vypnutí - od soklu do výšky 2m		</t>
  </si>
  <si>
    <t>(15+3,5+30+11+13+25+13+9+13+35+15+6+12+7)*2   </t>
  </si>
  <si>
    <t>Zakrývání výplní vnějších otvorů z lešení</t>
  </si>
  <si>
    <t>1,2*2,1*5   </t>
  </si>
  <si>
    <t>1,5*1,5*3   </t>
  </si>
  <si>
    <t>2,4*2,4*(12+6+2+2+7)   </t>
  </si>
  <si>
    <t>1,5*2,4*(6+6+7+7)   </t>
  </si>
  <si>
    <t>2,4*2,1*7   </t>
  </si>
  <si>
    <t>0,9*2*2   </t>
  </si>
  <si>
    <t>0,6*0,63   </t>
  </si>
  <si>
    <t>0,9*1,5   </t>
  </si>
  <si>
    <t>5,4*2,1*7   </t>
  </si>
  <si>
    <t>1,2*2,4   </t>
  </si>
  <si>
    <t>3,6*6,8   </t>
  </si>
  <si>
    <t>1,2*0,6   </t>
  </si>
  <si>
    <t>0,9*2,4   </t>
  </si>
  <si>
    <t>0,8*0,6*2   </t>
  </si>
  <si>
    <t xml:space="preserve">Omítka stěn marmolit		</t>
  </si>
  <si>
    <t>6+3,6*0,3+10+11*0,3+30*0,3+16*0,5*4   </t>
  </si>
  <si>
    <t>0,4*0,4*3,2*14+26*0,3+13*0,3+9*0,3+13*0,3   </t>
  </si>
  <si>
    <t>23*0,3+23*0,3+5+6*0,3+3,5+7*0,3   </t>
  </si>
  <si>
    <t>4*0,4*3+0,4*0,4*2   </t>
  </si>
  <si>
    <t>;marmolit;   </t>
  </si>
  <si>
    <t>Montáž výztužné lišty okenní a podparapetní</t>
  </si>
  <si>
    <t>185,8;viz lišta okenní;   </t>
  </si>
  <si>
    <t>55,9;viz profil pod parapet;   </t>
  </si>
  <si>
    <t>Lišta okenní s tkaninou</t>
  </si>
  <si>
    <t>1,2*5   </t>
  </si>
  <si>
    <t>1,5*3   </t>
  </si>
  <si>
    <t>2,4*(12+6+2+2+7)   </t>
  </si>
  <si>
    <t>1,5*(6+6+7+7)   </t>
  </si>
  <si>
    <t>2,4*7   </t>
  </si>
  <si>
    <t>0,9*2   </t>
  </si>
  <si>
    <t>0,6   </t>
  </si>
  <si>
    <t>0,9   </t>
  </si>
  <si>
    <t>5,4*7   </t>
  </si>
  <si>
    <t>1,2   </t>
  </si>
  <si>
    <t>3,6   </t>
  </si>
  <si>
    <t>0,8*2   </t>
  </si>
  <si>
    <t>Profil okenní pod parapet vč. lep. pásky</t>
  </si>
  <si>
    <t>185,8;viz oplechování parapetů;   </t>
  </si>
  <si>
    <t>Montáž výztužné lišty rohové</t>
  </si>
  <si>
    <t>391,8;viz lišta okenní;   </t>
  </si>
  <si>
    <t>Lišta rohová s tkaninou</t>
  </si>
  <si>
    <t>2,1*2*5   </t>
  </si>
  <si>
    <t>1,5*2*3   </t>
  </si>
  <si>
    <t>2,4*2*(12+6+2+2+7)   </t>
  </si>
  <si>
    <t>2,4*2*(6+6+7+7)   </t>
  </si>
  <si>
    <t>2,1*2*7   </t>
  </si>
  <si>
    <t>2*2*2   </t>
  </si>
  <si>
    <t>0,6*2   </t>
  </si>
  <si>
    <t>1,5*2   </t>
  </si>
  <si>
    <t>2,4*2   </t>
  </si>
  <si>
    <t>6,8*2   </t>
  </si>
  <si>
    <t>0,6*2*2   </t>
  </si>
  <si>
    <t>Příplatek za okenní lištu (APU) - montáž, včetně dodávky lišty</t>
  </si>
  <si>
    <t>185,5;viz okenní lišta;   </t>
  </si>
  <si>
    <t>391,8;viz rohová lišta;   </t>
  </si>
  <si>
    <t>Očištění fasád tlakovou vodou</t>
  </si>
  <si>
    <t>105,75;viz zateplení soklu nad terénem;   </t>
  </si>
  <si>
    <t>207,5;viz zateplení mv;   </t>
  </si>
  <si>
    <t>1028,95;viz zateplení EPS;   </t>
  </si>
  <si>
    <t>173,19;viz ostění;   </t>
  </si>
  <si>
    <t>Příplatek za styk 2 odstínů tenkovrstvých omítek</t>
  </si>
  <si>
    <t>28+3+3,5+10*2+3,5*2+8*2+3,5*2+7*2+3*2   </t>
  </si>
  <si>
    <t>13*2+3*2+7*2+3*2+12*2+3*2+7*2+3*2+8*2+3*2   </t>
  </si>
  <si>
    <t>4*2+3,5*2+28+3,5*2+10   </t>
  </si>
  <si>
    <t>;omítka;   </t>
  </si>
  <si>
    <t>Omítka vnější stěn, nezateplených konstrukcí</t>
  </si>
  <si>
    <t>24,5*1,2*2*2+24,5*1,2*2   </t>
  </si>
  <si>
    <t>20*1,2*2+20*1,2   </t>
  </si>
  <si>
    <t>;omítka vstupního atria;   </t>
  </si>
  <si>
    <t>Příplatek k položkám za 1. barvu</t>
  </si>
  <si>
    <t>1515,39;viz očištění fasád;   </t>
  </si>
  <si>
    <t>Zakládací lišta hliník KZS tl. 140 mm</t>
  </si>
  <si>
    <t>(15+3,5+30+11+13+25+16+9+16+35+13+6+12+7)   </t>
  </si>
  <si>
    <t>;viz zateplení nad terénem;   </t>
  </si>
  <si>
    <t>Výplně otvorů</t>
  </si>
  <si>
    <t>Osazení parapetních desek dřevěných včetně dodávky parapetní desky</t>
  </si>
  <si>
    <t>185,8;viz demontáž;   </t>
  </si>
  <si>
    <t>185,8*0,05;prořez;   </t>
  </si>
  <si>
    <t>Izolace střech (živičné krytiny)</t>
  </si>
  <si>
    <t>Odstranění povlakové krytiny střech do 10° 1vrstvé - fólie</t>
  </si>
  <si>
    <t>37*11,5+23*8,5+30*8+19*4+26*4+15*4;B30;   </t>
  </si>
  <si>
    <t>(37+8+3+8+12+30+8+7+8+12)*0,5;atika;   </t>
  </si>
  <si>
    <t>(4+3+16+9+4+25+4+13+15+13+4+19+4*2)*0,5;atika;   </t>
  </si>
  <si>
    <t>;B30;   </t>
  </si>
  <si>
    <t>Odstranění povlakové krytiny střech do 10° 2vrstvé - asf. pásy</t>
  </si>
  <si>
    <t>1236;viz odstranění fólie B30;   </t>
  </si>
  <si>
    <t>270;K3 viz B20;   </t>
  </si>
  <si>
    <t>270*2;K3 viz B20;   </t>
  </si>
  <si>
    <t>Montáž ukončovacího profilu</t>
  </si>
  <si>
    <t>Profil ukončovací</t>
  </si>
  <si>
    <t>270;viz montáž;   </t>
  </si>
  <si>
    <t>Komínek odvětrání kanalizace s manžetou z PVC</t>
  </si>
  <si>
    <t>17;K6;   </t>
  </si>
  <si>
    <t>Dodávka a osazení střešní vpusti</t>
  </si>
  <si>
    <t>8;K5;   </t>
  </si>
  <si>
    <t>Povlaková krytina střech do 10°,samolepicím pásem</t>
  </si>
  <si>
    <t>1236;viz odstranění;   </t>
  </si>
  <si>
    <t>1236*1,05;prořez;   </t>
  </si>
  <si>
    <t>Povlaková krytina střech do 10°, podklad. textilie</t>
  </si>
  <si>
    <t>Mont.povlakové krytiny střech do 30°fólií kotvením</t>
  </si>
  <si>
    <t>Přesun hmot pro povlakové krytiny, výšky do 12 m</t>
  </si>
  <si>
    <t>8,85977;viz hmotnost;   </t>
  </si>
  <si>
    <t>Izolace tepelné</t>
  </si>
  <si>
    <t>Odstr.tep.izol.střech pl,kotv,minerál tl.100-200mm</t>
  </si>
  <si>
    <t>Izolace tepelná střech do tl.160 mm,1vrstva,kotvy</t>
  </si>
  <si>
    <t>37*11,5+23*8,5+30*8+19*4+26*4+15*4;SCH1;   </t>
  </si>
  <si>
    <t>Deska izolační polystyrén samozhášivý EPS 200</t>
  </si>
  <si>
    <t>(37*11,5+23*8,5+30*8+19*4+26*4+15*4)*0,22;SCH1;   </t>
  </si>
  <si>
    <t>(37+8+3+8+12+30+8+7+8+12)*0,5*0,08;atika;   </t>
  </si>
  <si>
    <t>(4+3+16+9+4+25+4+13+15+13+4+19+4*2)*0,5*0,08;atika;   </t>
  </si>
  <si>
    <t>253,02*0,02;prořez;   </t>
  </si>
  <si>
    <t>Přesun hmot pro izolace tepelné, výšky do 12 m</t>
  </si>
  <si>
    <t>7,74241;viz hmotnost;   </t>
  </si>
  <si>
    <t>Vnitřní kanalizace</t>
  </si>
  <si>
    <t>Demontáž střešní vpusti</t>
  </si>
  <si>
    <t>4+4;B23;   </t>
  </si>
  <si>
    <t>Vzduchotechnika</t>
  </si>
  <si>
    <t>Demontáž mřížky větrací nebo ventilač. do d 100 mm</t>
  </si>
  <si>
    <t>10+12+4+26+7+12+27+8+3+24;B7;   </t>
  </si>
  <si>
    <t>Demontáž ventilační turbíny včetně oplechování</t>
  </si>
  <si>
    <t>3;B24;   </t>
  </si>
  <si>
    <t>Ventilační turbína včetně oplechování konstrukce</t>
  </si>
  <si>
    <t>3;K7;   </t>
  </si>
  <si>
    <t>Montáž protidešť. žaluzie čtyřhranné do 0,15 m2</t>
  </si>
  <si>
    <t>133;M1;   </t>
  </si>
  <si>
    <t>Mřížka protidešťová</t>
  </si>
  <si>
    <t>Přesun hmot pro vzduchotechniku, výšky do 12 m</t>
  </si>
  <si>
    <t>0,062;viz hmotnost;   </t>
  </si>
  <si>
    <t>Konstrukce tesařské</t>
  </si>
  <si>
    <t>Podlaha z desek dřevotřískových přibíjená</t>
  </si>
  <si>
    <t>1101;viz střecha;   </t>
  </si>
  <si>
    <t>Deska dřevoštěpková OSB 3 N tl. 22 mm</t>
  </si>
  <si>
    <t>1101*0,08;prořez;   </t>
  </si>
  <si>
    <t>Položení polštářů pod podlahy rozteče do 65 cm, včetně dodávky řeziva</t>
  </si>
  <si>
    <t>1189,08;viz OSB desky;   </t>
  </si>
  <si>
    <t>Přesun hmot pro tesařské konstrukce, výšky do 12 m</t>
  </si>
  <si>
    <t>22,63128;viz hmotnost;   </t>
  </si>
  <si>
    <t>Dřevostavby</t>
  </si>
  <si>
    <t>M.záklopu desek nad tl.18 mm</t>
  </si>
  <si>
    <t>297*0,5;délka viz záv. lišta;   </t>
  </si>
  <si>
    <t>Překližka vodovzdorná bříza tl. 21 mm jak. S/BB</t>
  </si>
  <si>
    <t>148,5*1,1;viz montáž krát ztratné;   </t>
  </si>
  <si>
    <t>Přesun hmot pro dřevostavby, výšky do 12 m</t>
  </si>
  <si>
    <t>2,40719;viz hmotnost;   </t>
  </si>
  <si>
    <t>Konstrukce klempířské</t>
  </si>
  <si>
    <t>Demontáž oplechování parapetů</t>
  </si>
  <si>
    <t>2,4*(14+9+3+3+7);B9;   </t>
  </si>
  <si>
    <t>1,5*(1+6+8+7+7);B11;   </t>
  </si>
  <si>
    <t>5,4*7;B45;   </t>
  </si>
  <si>
    <t>1,2*(3+3);B48;   </t>
  </si>
  <si>
    <t>3,6;B50;   </t>
  </si>
  <si>
    <t>0,8*2;B52;   </t>
  </si>
  <si>
    <t>0,9*(1+1);B36;   </t>
  </si>
  <si>
    <t>Demontáž oplechování atiky, rš 500 mm, do 30°</t>
  </si>
  <si>
    <t>37+8+3+8+12+30+8+7+8+12   </t>
  </si>
  <si>
    <t>4+3+16+9+4+25+4+13+15+13+4+19+4*2   </t>
  </si>
  <si>
    <t>;B20;   </t>
  </si>
  <si>
    <t>Demontáž oplechování štěrbiny</t>
  </si>
  <si>
    <t>22*1;B29;   </t>
  </si>
  <si>
    <t>Oplechování parapetů z elox. hliníku včetně doplňků</t>
  </si>
  <si>
    <t>0,6*1;P6/E;   </t>
  </si>
  <si>
    <t>1,2*(3+3+1);P7/E;   </t>
  </si>
  <si>
    <t>2,4*(14+9+3+3+7);P2/E;   </t>
  </si>
  <si>
    <t>1,5*(1+6+8+7+7);P3/E;   </t>
  </si>
  <si>
    <t>3,6;P1/E;   </t>
  </si>
  <si>
    <t>0,9*(1+1);P4/E;   </t>
  </si>
  <si>
    <t>0,8*2;P10/E;   </t>
  </si>
  <si>
    <t>5,7*7;P9/E;   </t>
  </si>
  <si>
    <t>22*1;K9;   </t>
  </si>
  <si>
    <t>Přesun hmot pro klempířské konstr., výšky do 12 m</t>
  </si>
  <si>
    <t>0,83512;viz hmotnost;   </t>
  </si>
  <si>
    <t>Krytina tvrdá</t>
  </si>
  <si>
    <t>Demontáž azbestocement.čtverců, do suti</t>
  </si>
  <si>
    <t>Konstrukce truhlářské</t>
  </si>
  <si>
    <t>Montáž výplní otvorů</t>
  </si>
  <si>
    <t>1,2*0,6*1;O1;   </t>
  </si>
  <si>
    <t>0,6*0,6*1;O2;   </t>
  </si>
  <si>
    <t>2,4*2,1*(2+3+1+1);O12;   </t>
  </si>
  <si>
    <t>1,5*2,1*2;O13;   </t>
  </si>
  <si>
    <t>5,4*2,1*7;O17;   </t>
  </si>
  <si>
    <t>1,2*2,4*1;O18;   </t>
  </si>
  <si>
    <t>1,2*2,1*(2+2);O19;   </t>
  </si>
  <si>
    <t>3,6*6,8;S4;   </t>
  </si>
  <si>
    <t>2,4*2,4*(12+6+2+2+7);O4;   </t>
  </si>
  <si>
    <t>1,5*2,4*(1+6+5+7);O6;   </t>
  </si>
  <si>
    <t>0,9*1,97;D5;   </t>
  </si>
  <si>
    <t>0,9*1,97;D6;   </t>
  </si>
  <si>
    <t>0,8*0,6*2;O20;   </t>
  </si>
  <si>
    <t>1,5*1,5;O21;   </t>
  </si>
  <si>
    <t>1,5*1,5*2;O21k;   </t>
  </si>
  <si>
    <t>0,9*1,5;O22;   </t>
  </si>
  <si>
    <t>0,9*2,4;O23;   </t>
  </si>
  <si>
    <t>Okno plast 1,2x0,6m, 3 sklo, Umax=0,9W/m2K</t>
  </si>
  <si>
    <t>1;O1;   </t>
  </si>
  <si>
    <t>Okno plast 0,6x0,6m, 3 sklo, Umax=0,9W/m2K</t>
  </si>
  <si>
    <t>1;O2;   </t>
  </si>
  <si>
    <t>Okno plast 2,4x2,1m, 3 sklo, Umax=0,9W/m2K</t>
  </si>
  <si>
    <t>2+3+1+1;O12;   </t>
  </si>
  <si>
    <t>Okno plast 1,5x2,1m, 3 sklo, Umax=0,9W/m2K</t>
  </si>
  <si>
    <t>2;O13;   </t>
  </si>
  <si>
    <t>Okno plast 5,4x2,1m, 3 sklo, Umax=0,9W/m2K</t>
  </si>
  <si>
    <t>7;O17;   </t>
  </si>
  <si>
    <t>Okno plast 1,2x2,4m, 3 sklo, Umax=0,9W/m2K</t>
  </si>
  <si>
    <t>1;O18;   </t>
  </si>
  <si>
    <t>Okno plast 1,2x2,1m, 3 sklo, Umax=0,9W/m2K</t>
  </si>
  <si>
    <t>2+2;O19;   </t>
  </si>
  <si>
    <t>Stěna plast 3,6x6,8m, 3 sklo, Umax=0,9W/m2K vč. pákového mechanizmu</t>
  </si>
  <si>
    <t>1;S4;   </t>
  </si>
  <si>
    <t>Okno plast 2,4x2,4m, 3 sklo, Umax=0,9W/m2K</t>
  </si>
  <si>
    <t>12+6+2+2+7;O4;   </t>
  </si>
  <si>
    <t>Okno plast 1,5x2,4m, 3 sklo, Umax=0,9W/m2K</t>
  </si>
  <si>
    <t>1+6+5+7;O6;   </t>
  </si>
  <si>
    <t>Dveře plast 0,9x1,97m, 3 sklo, Umax=0,9W/m2K</t>
  </si>
  <si>
    <t>1;D5;   </t>
  </si>
  <si>
    <t>1;D6;   </t>
  </si>
  <si>
    <t>Okno plast 0,8x0,6m, 3 sklo, Umax=0,9W/m2K</t>
  </si>
  <si>
    <t>2;O20;   </t>
  </si>
  <si>
    <t>Okno plast 1,5x1,5m, 3 sklo, Umax=0,9W/m2K</t>
  </si>
  <si>
    <t>1;O21;   </t>
  </si>
  <si>
    <t>Okno plast 1,5x1,5m, 3 sklo, Umax=0,9W/m2K, dubová kůra</t>
  </si>
  <si>
    <t>2;O21k;   </t>
  </si>
  <si>
    <t>Okno plast 0,9x1,5m, 3 sklo, Umax=0,9W/m2K, dubová kůra</t>
  </si>
  <si>
    <t>1;O22;   </t>
  </si>
  <si>
    <t>Okno plast 0,9x2,4m, 3 sklo, Umax=0,9W/m2K</t>
  </si>
  <si>
    <t>1;O23;   </t>
  </si>
  <si>
    <t>Přesun hmot pro truhlářské konstr., výšky do 12 m</t>
  </si>
  <si>
    <t>12,6119;viz hmotnost;   </t>
  </si>
  <si>
    <t>Konstrukce doplňkové stavební (zámečnické)</t>
  </si>
  <si>
    <t>Odstranění přestřešení vchodu</t>
  </si>
  <si>
    <t>1;B57;   </t>
  </si>
  <si>
    <t>Přestřešení vchodu</t>
  </si>
  <si>
    <t>1;PŘ1;   </t>
  </si>
  <si>
    <t>1;PŘ4;   </t>
  </si>
  <si>
    <t>Přesun hmot pro zámečnické konstr., výšky do 12 m</t>
  </si>
  <si>
    <t>0,1;viz hmotnost;   </t>
  </si>
  <si>
    <t>Malby</t>
  </si>
  <si>
    <t>Malba klih.2x, 1bar.+strop,pačok 2x, míst. do 3,8m</t>
  </si>
  <si>
    <t>317,5;viz omítka vnitřního ostění;   </t>
  </si>
  <si>
    <t>Malba disperzní interiér.,výška do 3,8m pro SDK</t>
  </si>
  <si>
    <t>27,615;viz podhled;   </t>
  </si>
  <si>
    <t>9*(0,75+0,35)   </t>
  </si>
  <si>
    <t>6*(0,4+0,35)   </t>
  </si>
  <si>
    <t>(0,8+0,4*2)*3,3   </t>
  </si>
  <si>
    <t>;1np;   </t>
  </si>
  <si>
    <t>(1,05+0,5*2)*3,3   </t>
  </si>
  <si>
    <t>;2np;   </t>
  </si>
  <si>
    <t>Čalounické úpravy</t>
  </si>
  <si>
    <t>Žaluzie předokenní lamelová, el. ovládaná, montáž + dodávka vč. zapojení</t>
  </si>
  <si>
    <t>2,4*2,4*(4+2+6);Ž1;   </t>
  </si>
  <si>
    <t>2,4*2,1*(2+1);Ž3;   </t>
  </si>
  <si>
    <t>1,5*2,4*(1+2+5);Ž2;   </t>
  </si>
  <si>
    <t>Lešení a stavební výtahy</t>
  </si>
  <si>
    <t>Montáž lešení leh.řad.s podlahami,š.1,2 m, H 30 m</t>
  </si>
  <si>
    <t>15*5+3*8+12*9+16*12+10,5*12+16*12+25*5*2   </t>
  </si>
  <si>
    <t>25*4+13*4+9*4+13*4+8*4+16*12+12*4+15*5   </t>
  </si>
  <si>
    <t>6*12+10*12+26*8+20*5   </t>
  </si>
  <si>
    <t>1,2*(9+12+9+12+8+12+12)   </t>
  </si>
  <si>
    <t>Příplatek za každý měsíc použití lešení k pol.1042</t>
  </si>
  <si>
    <t>2142,8*2;předpoklad 2 měsíce;   </t>
  </si>
  <si>
    <t>Demontáž lešení leh.řad.s podlahami,š.1,2 m,H 30 m</t>
  </si>
  <si>
    <t>2142,8;viz montáž;   </t>
  </si>
  <si>
    <t>Montáž ochranné sítě z umělých vláken</t>
  </si>
  <si>
    <t>2142,8;viz montáž lešení;   </t>
  </si>
  <si>
    <t>Příplatek za každý měsíc použití sítí k pol. 4011</t>
  </si>
  <si>
    <t>Demontáž ochranné sítě z umělých vláken</t>
  </si>
  <si>
    <t>Lešení lehké pomocné, výška podlahy do 1,2 m</t>
  </si>
  <si>
    <t>6*1,5+8*2,5;1pp;   </t>
  </si>
  <si>
    <t>9,5*1,5+5,5*1,5+1,5*1,5+19,25;2np;   </t>
  </si>
  <si>
    <t>9*1,5*2+6*1,5+3*1,5;1np;   </t>
  </si>
  <si>
    <t>Přesun hmot lešení samostatně budovaného</t>
  </si>
  <si>
    <t>43,8076;viz hmotnost;   </t>
  </si>
  <si>
    <t>Různé dokončovací konstrukce a práce na pozemních stavbách</t>
  </si>
  <si>
    <t>Vyčištění ostatních objektů - střecha</t>
  </si>
  <si>
    <t>1236;viz krytina;   </t>
  </si>
  <si>
    <t>Čištění mytím vnějších ploch oken a dveří</t>
  </si>
  <si>
    <t>431,178;viz montáž výplní otvorů;   </t>
  </si>
  <si>
    <t>Čištění mytím vnitřních ploch oken a dveří</t>
  </si>
  <si>
    <t>431,178;viz mytí vnějších;   </t>
  </si>
  <si>
    <t>Průběžný úklid</t>
  </si>
  <si>
    <t>33,05+93,5+84,7+22,8+20,15+25,6+46,10;1pp;   </t>
  </si>
  <si>
    <t>33,1+22,6+51,5+12,8+22,65+54+70,85+72+36+6,2+47,15+3,4+7,25   </t>
  </si>
  <si>
    <t>12,6+4,55+72,4+14,8+5,05+10,3+4,3+8,85+98,7   </t>
  </si>
  <si>
    <t>4,9+7,65+4,35+2,45+18,05+9,3+4,3+17,6+4,05+4,45+1,35+19+65,8   </t>
  </si>
  <si>
    <t>33,1+2,6+37,6+40,35+31,2+16,15+17,8+44,15+13,45+7,5+13,2+6,45+23,1   </t>
  </si>
  <si>
    <t>4,5+1,25+22,6+81+152,3+65,8+19,25+21,1+21,5+4,6+2,95+3+3,85+9,2+4,7+9,4+4,7+9,4   </t>
  </si>
  <si>
    <t>Závěrečný úklid bez mytí oken a dveří</t>
  </si>
  <si>
    <t>1887,95;viz průběžný úklid;   </t>
  </si>
  <si>
    <t>Bourání konstrukcí</t>
  </si>
  <si>
    <t>Bourání betonových okapových chodníčků</t>
  </si>
  <si>
    <t>(9,5+10+7+6+9+7+7,5+5,5+12+6+7+2,5)*0,6*0,15;B2-1pp;   </t>
  </si>
  <si>
    <t>(23*2+6,5+9+3,5+6+1,5+2+25+8,5+7+7,5+11,5+8)*0,6*0,15;B2-1np;   </t>
  </si>
  <si>
    <t>Bourání výplní z kopilitu</t>
  </si>
  <si>
    <t>3,6*6,8;B49;   </t>
  </si>
  <si>
    <t>Vyvěšení dřevěných okenních křídel pl. do 1,5 m2</t>
  </si>
  <si>
    <t>1;B4;   </t>
  </si>
  <si>
    <t>1;B5;   </t>
  </si>
  <si>
    <t>3*(2+3+1+1);B31;   </t>
  </si>
  <si>
    <t>1*2;B32;   </t>
  </si>
  <si>
    <t>7*7;B44;   </t>
  </si>
  <si>
    <t>1*1;B46;   </t>
  </si>
  <si>
    <t>1*(3+2);B47;   </t>
  </si>
  <si>
    <t>3*2;B49;   </t>
  </si>
  <si>
    <t>1*2;B51;   </t>
  </si>
  <si>
    <t>1*(3+6+7);B10;   </t>
  </si>
  <si>
    <t>3*(12+6+2+2+7);B8;   </t>
  </si>
  <si>
    <t>1;B54;   </t>
  </si>
  <si>
    <t>2;B56;   </t>
  </si>
  <si>
    <t>Vybourání dřevěných rámů oken jednoduch. pl. 1 m2</t>
  </si>
  <si>
    <t>1,2*0,6;B4;   </t>
  </si>
  <si>
    <t>0,6*0,6;B5;   </t>
  </si>
  <si>
    <t>0,8*0,6*2;B51;   </t>
  </si>
  <si>
    <t>Vyvěšení dřevěných okenních křídel pl. nad 1,5 m2</t>
  </si>
  <si>
    <t>1*(2+3+1+1);B31;   </t>
  </si>
  <si>
    <t>3*7;B44;   </t>
  </si>
  <si>
    <t>1*(12+6+2+2+7);B8;   </t>
  </si>
  <si>
    <t>1*3;B53;   </t>
  </si>
  <si>
    <t>Vybourání dřevěných rámů oken jednoduch. pl. 2 m2</t>
  </si>
  <si>
    <t>0,9*1,5;B54;   </t>
  </si>
  <si>
    <t>Vybourání dřevěných rámů oken jednoduch. nad 4 m2</t>
  </si>
  <si>
    <t>2,4*2,1*(2+3+1+1);B31;   </t>
  </si>
  <si>
    <t>5,4*2,1*7;B44;   </t>
  </si>
  <si>
    <t>2,4*2,4*(12+6+2+2+7);B8;   </t>
  </si>
  <si>
    <t>Vybourání dřevěných rámů oken jednoduch. pl. 4 m2</t>
  </si>
  <si>
    <t>1,5*2,1*2;B32;   </t>
  </si>
  <si>
    <t>1,2*2,4;B46;   </t>
  </si>
  <si>
    <t>1,2*2,1*(3+2);B47;   </t>
  </si>
  <si>
    <t>3,6*1*2;B49;   </t>
  </si>
  <si>
    <t>1,5*2,4*(3+6+7);B10;   </t>
  </si>
  <si>
    <t>1,5*1,5*3;B53;   </t>
  </si>
  <si>
    <t>0,9*2,4;B56;   </t>
  </si>
  <si>
    <t>Vyvěšení dřevěných dveřních křídel pl. do 2 m2</t>
  </si>
  <si>
    <t>1+1;B55;   </t>
  </si>
  <si>
    <t>Vyvěšení, zavěšení kovových křídel dveří pl. 2 m2</t>
  </si>
  <si>
    <t>0,9*1,97*2;B55;   </t>
  </si>
  <si>
    <t>Demontáž hlavic kanalizace</t>
  </si>
  <si>
    <t>17;B25;   </t>
  </si>
  <si>
    <t>Přisekání podpar. zdiva pro vložení tep. izolace</t>
  </si>
  <si>
    <t>1,5*0,3*3;1np;   </t>
  </si>
  <si>
    <t>Bourání parapetů dřevěných</t>
  </si>
  <si>
    <t>184;viz nové vnější parapety;   </t>
  </si>
  <si>
    <t>Prorážení otvorů a ostatní bourací práce</t>
  </si>
  <si>
    <t>Odsekání vnějších obkladů stěn nad 2 m2</t>
  </si>
  <si>
    <t>10+3,2*0,3+8,5*0,3+14+7*0,3+10,5*0,3+23*0,3+16*0,5   </t>
  </si>
  <si>
    <t>0,4*2*3,2*14+20+25*0,3+13*0,3+9+0,3+13*0,3   </t>
  </si>
  <si>
    <t>24*0,3+23*0,3+16*0,5+6+6*0,3+15+7*0,3   </t>
  </si>
  <si>
    <t>16*0,5*2+16*0,4+4*0,4*3+0,4*0,4*2   </t>
  </si>
  <si>
    <t>;B1;   </t>
  </si>
  <si>
    <t>Vybourání otv. zeď cihel. pl.0,09 m2, tl.30cm, MVC</t>
  </si>
  <si>
    <t>2+2;2np;   </t>
  </si>
  <si>
    <t>Vybourání otv. zeď cihel. pl.0,09 m2, tl.15cm, MVC</t>
  </si>
  <si>
    <t>1;1pp;   </t>
  </si>
  <si>
    <t>Vybourání otv. zeď cihel. pl.0,25 m2, tl.30cm, MVC</t>
  </si>
  <si>
    <t>1;1np;   </t>
  </si>
  <si>
    <t>Vybourání otvorů stropy prefa 0,25 m2, nad 12 cm</t>
  </si>
  <si>
    <t>2;1pp;   </t>
  </si>
  <si>
    <t>2;1np;   </t>
  </si>
  <si>
    <t>Vybourání otv. zeď cihel. pl.0,25 m2, tl.15cm, MVC</t>
  </si>
  <si>
    <t>Řezání železobetonu hl. řezu 300 mm</t>
  </si>
  <si>
    <t>(0,35+0,3)*2*2;1pp;   </t>
  </si>
  <si>
    <t>(0,3+0,25)*2*2;1np;   </t>
  </si>
  <si>
    <t>(0,95+0,37)*2;2np;   </t>
  </si>
  <si>
    <t>(1,805+2,76)*2;pro základ pod VZT v RZP;   </t>
  </si>
  <si>
    <t>Řezání cihelného zdiva hl. řezu 150 mm</t>
  </si>
  <si>
    <t>(0,3+0,3)*2+(0,45+0,25)*2*2;1pp;   </t>
  </si>
  <si>
    <t>Řezání cihelného zdiva hl. řezu 200 mm</t>
  </si>
  <si>
    <t>(0,8+0,25)*2;1np;   </t>
  </si>
  <si>
    <t>(0,3+0,3)*2+(0,3+0,25)*2*2;2np;   </t>
  </si>
  <si>
    <t>Vybourání otvorů stropy prefa 1 m2, nad 12 cm</t>
  </si>
  <si>
    <t>0,95*0,37*0,3;2np;   </t>
  </si>
  <si>
    <t>Vybourání otv. stropy ŽB pl. 4 m2, tl. nad 8 cm</t>
  </si>
  <si>
    <t>1,805*2,76*0,25*2;pro základ VZT v RZP;   </t>
  </si>
  <si>
    <t>Ostatní přesuny hmot</t>
  </si>
  <si>
    <t>Přesun hmot pro opravy a údržbu do výšky 12 m</t>
  </si>
  <si>
    <t>169,89421;viz hmotnost;   </t>
  </si>
  <si>
    <t>Osetí povrchu trávou</t>
  </si>
  <si>
    <t>Osetí povrchu trávou včetně dodávky osiva</t>
  </si>
  <si>
    <t>138,6;viz chodník;   </t>
  </si>
  <si>
    <t>Přesuny sutí</t>
  </si>
  <si>
    <t>Svislá doprava suti a vybour. hmot za 2.NP a 1.PP</t>
  </si>
  <si>
    <t>154,89079;viz hmotnost;   </t>
  </si>
  <si>
    <t>Vnitrostaveništní doprava suti do 10 m</t>
  </si>
  <si>
    <t>Vodorovná doprava suti po suchu do 50 m</t>
  </si>
  <si>
    <t>Nakládání vybour.hmot na doprav.prostředky</t>
  </si>
  <si>
    <t>Odvoz suti a vybour. hmot na skládku do 1 km</t>
  </si>
  <si>
    <t>Příplatek k odvozu za každý další 1 km</t>
  </si>
  <si>
    <t>154,89079*19;viz hmotnost-odvoz celkem do 20km;   </t>
  </si>
  <si>
    <t>Poplatek za skládku suti - asfaltové pásy</t>
  </si>
  <si>
    <t>19,776;viz hmotnost;   </t>
  </si>
  <si>
    <t>Poplatek za skládku suti -azbestocementové výrobky</t>
  </si>
  <si>
    <t>15,414;viz hmotnost;   </t>
  </si>
  <si>
    <t>Poplatek za skládku stavební suti</t>
  </si>
  <si>
    <t>86,67;viz hmotnost;   </t>
  </si>
  <si>
    <t>Poplatek za skládku suti - minerální vata</t>
  </si>
  <si>
    <t>33,03;viz hmotnost;   </t>
  </si>
  <si>
    <t>Doba výstavby:</t>
  </si>
  <si>
    <t>Začátek výstavby:</t>
  </si>
  <si>
    <t>Konec výstavby:</t>
  </si>
  <si>
    <t>Zpracováno dne:</t>
  </si>
  <si>
    <t>15.10.2019</t>
  </si>
  <si>
    <t>MJ</t>
  </si>
  <si>
    <t>m</t>
  </si>
  <si>
    <t>m2</t>
  </si>
  <si>
    <t>m3</t>
  </si>
  <si>
    <t>kompl</t>
  </si>
  <si>
    <t>kus</t>
  </si>
  <si>
    <t>t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</si>
  <si>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</si>
  <si>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</si>
  <si>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</si>
  <si>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</si>
  <si>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</si>
  <si>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</si>
  <si>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</si>
  <si>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Město Cheb</t>
  </si>
  <si>
    <t>Kamila Možná</t>
  </si>
  <si>
    <t>Dle výběrového řízení</t>
  </si>
  <si>
    <t>Náklady (Kč)</t>
  </si>
  <si>
    <t>Dodávka</t>
  </si>
  <si>
    <t>Celkem:</t>
  </si>
  <si>
    <t>Montáž</t>
  </si>
  <si>
    <t>Celkem</t>
  </si>
  <si>
    <t>Cenová</t>
  </si>
  <si>
    <t>soustava</t>
  </si>
  <si>
    <t>RTS II / 2019</t>
  </si>
  <si>
    <t>RTS I / 2019</t>
  </si>
  <si>
    <t>RTS I / 2020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</si>
  <si>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</si>
  <si>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</si>
  <si>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</si>
  <si>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</si>
  <si>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</si>
  <si>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</si>
  <si>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</si>
  <si>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</si>
  <si>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</si>
  <si>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1_</t>
  </si>
  <si>
    <t>13_</t>
  </si>
  <si>
    <t>16_</t>
  </si>
  <si>
    <t>17_</t>
  </si>
  <si>
    <t>2_</t>
  </si>
  <si>
    <t>21_</t>
  </si>
  <si>
    <t>27_</t>
  </si>
  <si>
    <t>34_</t>
  </si>
  <si>
    <t>59_</t>
  </si>
  <si>
    <t>60_</t>
  </si>
  <si>
    <t>61_</t>
  </si>
  <si>
    <t>62_</t>
  </si>
  <si>
    <t>64_</t>
  </si>
  <si>
    <t>712_</t>
  </si>
  <si>
    <t>713_</t>
  </si>
  <si>
    <t>721_</t>
  </si>
  <si>
    <t>728_</t>
  </si>
  <si>
    <t>762_</t>
  </si>
  <si>
    <t>763_</t>
  </si>
  <si>
    <t>764_</t>
  </si>
  <si>
    <t>765_</t>
  </si>
  <si>
    <t>766_</t>
  </si>
  <si>
    <t>767_</t>
  </si>
  <si>
    <t>784_</t>
  </si>
  <si>
    <t>786_</t>
  </si>
  <si>
    <t>94_</t>
  </si>
  <si>
    <t>95_</t>
  </si>
  <si>
    <t>96_</t>
  </si>
  <si>
    <t>97_</t>
  </si>
  <si>
    <t>H99_</t>
  </si>
  <si>
    <t>M46_</t>
  </si>
  <si>
    <t>S_</t>
  </si>
  <si>
    <t>3_</t>
  </si>
  <si>
    <t>5_</t>
  </si>
  <si>
    <t>6_</t>
  </si>
  <si>
    <t>71_</t>
  </si>
  <si>
    <t>72_</t>
  </si>
  <si>
    <t>76_</t>
  </si>
  <si>
    <t>78_</t>
  </si>
  <si>
    <t>9_</t>
  </si>
  <si>
    <t>_</t>
  </si>
  <si>
    <t>MAT</t>
  </si>
  <si>
    <t>WORK</t>
  </si>
  <si>
    <t>CELK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</si>
  <si>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</si>
  <si>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</si>
  <si>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</si>
  <si>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</si>
  <si>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</si>
  <si>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</si>
  <si>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</si>
  <si>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</si>
  <si>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</si>
  <si>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</si>
  <si>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</si>
  <si>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</si>
  <si>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</si>
  <si>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</si>
  <si>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</si>
  <si>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</si>
  <si>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</si>
  <si>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</si>
  <si>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</si>
  <si>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</si>
  <si>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</si>
  <si>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</si>
  <si>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</si>
  <si>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</si>
  <si>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</si>
  <si>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</si>
  <si>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</si>
  <si>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</si>
  <si>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</si>
  <si>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</si>
  <si>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</si>
  <si>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</si>
  <si>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</si>
  <si>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</si>
  <si>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</si>
  <si>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</si>
  <si>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</si>
  <si>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</si>
  <si>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</si>
  <si>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</si>
  <si>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</si>
  <si>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</si>
  <si>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</si>
  <si>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</si>
  <si>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10</t>
  </si>
  <si>
    <t>Opláštění z SDK 2.str.,do 800x800 mm,MA tl.12,5 mm 1x opláštění</t>
  </si>
  <si>
    <t>Opláštění z SDK 3.str.,do 800x800 mm,MA tl.12,5 mm 1x opláštění</t>
  </si>
  <si>
    <t>Závětrná lišta z poplastovaného plechu rš 250 mm</t>
  </si>
  <si>
    <t>Rohová lišta vnější z poplastovaného plechu RŠ 100 mm</t>
  </si>
  <si>
    <t>Rohová lišta vnitřní z poplastovaného plechu RŠ 100 mm</t>
  </si>
  <si>
    <t>1236</t>
  </si>
  <si>
    <t>Geotextilie netkaná 300 g/m2</t>
  </si>
  <si>
    <t>Pás modif. asfalt samolep s vložkou ze skleněné tkaniny tl. 3mm</t>
  </si>
  <si>
    <t>Fólie izolační z PVC-P s výztužnou vložkou PES, tl. 1,5 mm</t>
  </si>
  <si>
    <t xml:space="preserve">Oplechování ventilační štěrbiny z poplastovaného plechu </t>
  </si>
  <si>
    <t>viz samostatný rozpočet Elektroinstalace Objekt 2</t>
  </si>
  <si>
    <t>Elektromontáže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</si>
</sst>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8" fillId="2" borderId="7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7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9" fontId="11" fillId="3" borderId="30" xfId="0" applyNumberFormat="1" applyFont="1" applyFill="1" applyBorder="1" applyAlignment="1" applyProtection="1">
      <alignment horizontal="center" vertical="center"/>
    </xf>
    <xf numFmtId="49" fontId="12" fillId="0" borderId="31" xfId="0" applyNumberFormat="1" applyFont="1" applyFill="1" applyBorder="1" applyAlignment="1" applyProtection="1">
      <alignment horizontal="left" vertical="center"/>
    </xf>
    <xf numFmtId="49" fontId="12" fillId="0" borderId="32" xfId="0" applyNumberFormat="1" applyFont="1" applyFill="1" applyBorder="1" applyAlignment="1" applyProtection="1">
      <alignment horizontal="left" vertical="center"/>
    </xf>
    <xf numFmtId="0" fontId="1" fillId="0" borderId="34" xfId="0" applyNumberFormat="1" applyFont="1" applyFill="1" applyBorder="1" applyAlignment="1" applyProtection="1">
      <alignment vertical="center"/>
    </xf>
    <xf numFmtId="49" fontId="7" fillId="0" borderId="7" xfId="0" applyNumberFormat="1" applyFont="1" applyFill="1" applyBorder="1" applyAlignment="1" applyProtection="1">
      <alignment horizontal="left" vertical="center"/>
    </xf>
    <xf numFmtId="49" fontId="13" fillId="0" borderId="30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0" fontId="1" fillId="0" borderId="28" xfId="0" applyNumberFormat="1" applyFont="1" applyFill="1" applyBorder="1" applyAlignment="1" applyProtection="1">
      <alignment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9" fontId="13" fillId="0" borderId="30" xfId="0" applyNumberFormat="1" applyFont="1" applyFill="1" applyBorder="1" applyAlignment="1" applyProtection="1">
      <alignment horizontal="right" vertical="center"/>
    </xf>
    <xf numFmtId="4" fontId="13" fillId="0" borderId="20" xfId="0" applyNumberFormat="1" applyFont="1" applyFill="1" applyBorder="1" applyAlignment="1" applyProtection="1">
      <alignment horizontal="righ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0" fontId="1" fillId="0" borderId="33" xfId="0" applyNumberFormat="1" applyFont="1" applyFill="1" applyBorder="1" applyAlignment="1" applyProtection="1">
      <alignment vertical="center"/>
    </xf>
    <xf numFmtId="4" fontId="12" fillId="3" borderId="37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12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0" fontId="8" fillId="2" borderId="7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/>
    </xf>
    <xf numFmtId="49" fontId="13" fillId="0" borderId="27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39" xfId="0" applyNumberFormat="1" applyFont="1" applyFill="1" applyBorder="1" applyAlignment="1" applyProtection="1">
      <alignment horizontal="left" vertical="center"/>
    </xf>
    <xf numFmtId="49" fontId="13" fillId="0" borderId="36" xfId="0" applyNumberFormat="1" applyFont="1" applyFill="1" applyBorder="1" applyAlignment="1" applyProtection="1">
      <alignment horizontal="left" vertical="center"/>
    </xf>
    <xf numFmtId="0" fontId="13" fillId="0" borderId="9" xfId="0" applyNumberFormat="1" applyFont="1" applyFill="1" applyBorder="1" applyAlignment="1" applyProtection="1">
      <alignment horizontal="left" vertical="center"/>
    </xf>
    <xf numFmtId="0" fontId="13" fillId="0" borderId="40" xfId="0" applyNumberFormat="1" applyFont="1" applyFill="1" applyBorder="1" applyAlignment="1" applyProtection="1">
      <alignment horizontal="left" vertical="center"/>
    </xf>
    <xf numFmtId="49" fontId="12" fillId="3" borderId="33" xfId="0" applyNumberFormat="1" applyFont="1" applyFill="1" applyBorder="1" applyAlignment="1" applyProtection="1">
      <alignment horizontal="left" vertical="center"/>
    </xf>
    <xf numFmtId="0" fontId="12" fillId="3" borderId="29" xfId="0" applyNumberFormat="1" applyFont="1" applyFill="1" applyBorder="1" applyAlignment="1" applyProtection="1">
      <alignment horizontal="left" vertical="center"/>
    </xf>
    <xf numFmtId="49" fontId="13" fillId="0" borderId="35" xfId="0" applyNumberFormat="1" applyFont="1" applyFill="1" applyBorder="1" applyAlignment="1" applyProtection="1">
      <alignment horizontal="left" vertical="center"/>
    </xf>
    <xf numFmtId="0" fontId="13" fillId="0" borderId="7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12" fillId="0" borderId="37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3" fillId="0" borderId="37" xfId="0" applyNumberFormat="1" applyFont="1" applyFill="1" applyBorder="1" applyAlignment="1" applyProtection="1">
      <alignment horizontal="left" vertical="center"/>
    </xf>
    <xf numFmtId="49" fontId="10" fillId="0" borderId="29" xfId="0" applyNumberFormat="1" applyFont="1" applyFill="1" applyBorder="1" applyAlignment="1" applyProtection="1">
      <alignment horizontal="center" vertical="center"/>
    </xf>
    <xf numFmtId="0" fontId="10" fillId="0" borderId="29" xfId="0" applyNumberFormat="1" applyFont="1" applyFill="1" applyBorder="1" applyAlignment="1" applyProtection="1">
      <alignment horizontal="center" vertical="center"/>
    </xf>
    <xf numFmtId="49" fontId="14" fillId="0" borderId="33" xfId="0" applyNumberFormat="1" applyFont="1" applyFill="1" applyBorder="1" applyAlignment="1" applyProtection="1">
      <alignment horizontal="left" vertical="center"/>
    </xf>
    <xf numFmtId="0" fontId="14" fillId="0" borderId="37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 wrapText="1"/>
    </xf>
    <xf numFmtId="0" fontId="1" fillId="0" borderId="41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3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38"/>
  <sheetViews>
    <sheetView tabSelected="1" zoomScale="85" zoomScaleNormal="85" workbookViewId="0">
      <pane ySplit="11" topLeftCell="A33" activePane="bottomLeft" state="frozenSplit"/>
      <selection pane="bottomLeft" activeCell="H39" sqref="H39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81.7109375" customWidth="1"/>
    <col min="6" max="6" width="5.85546875" customWidth="1"/>
    <col min="7" max="7" width="12.85546875" customWidth="1"/>
    <col min="8" max="8" width="12" customWidth="1"/>
    <col min="9" max="11" width="14.28515625" customWidth="1"/>
    <col min="12" max="12" width="11.7109375" customWidth="1"/>
    <col min="25" max="62" width="12.140625" hidden="1" customWidth="1"/>
  </cols>
  <sheetData>
    <row r="1" spans="1:62" ht="72.95" customHeight="1" x14ac:dyDescent="0.3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62" x14ac:dyDescent="0.2">
      <c r="A2" s="89" t="s">
        <v>1</v>
      </c>
      <c r="B2" s="90"/>
      <c r="C2" s="91" t="s">
        <v>326</v>
      </c>
      <c r="D2" s="93" t="s">
        <v>810</v>
      </c>
      <c r="E2" s="90"/>
      <c r="F2" s="93" t="s">
        <v>6</v>
      </c>
      <c r="G2" s="90"/>
      <c r="H2" s="94" t="s">
        <v>823</v>
      </c>
      <c r="I2" s="94" t="s">
        <v>829</v>
      </c>
      <c r="J2" s="90"/>
      <c r="K2" s="90"/>
      <c r="L2" s="95"/>
      <c r="M2" s="30"/>
    </row>
    <row r="3" spans="1:62" x14ac:dyDescent="0.2">
      <c r="A3" s="86"/>
      <c r="B3" s="56"/>
      <c r="C3" s="92"/>
      <c r="D3" s="56"/>
      <c r="E3" s="56"/>
      <c r="F3" s="56"/>
      <c r="G3" s="56"/>
      <c r="H3" s="56"/>
      <c r="I3" s="56"/>
      <c r="J3" s="56"/>
      <c r="K3" s="56"/>
      <c r="L3" s="84"/>
      <c r="M3" s="30"/>
    </row>
    <row r="4" spans="1:62" x14ac:dyDescent="0.2">
      <c r="A4" s="80" t="s">
        <v>2</v>
      </c>
      <c r="B4" s="56"/>
      <c r="C4" s="55" t="s">
        <v>327</v>
      </c>
      <c r="D4" s="83" t="s">
        <v>811</v>
      </c>
      <c r="E4" s="56"/>
      <c r="F4" s="83" t="s">
        <v>6</v>
      </c>
      <c r="G4" s="56"/>
      <c r="H4" s="55" t="s">
        <v>824</v>
      </c>
      <c r="I4" s="55" t="s">
        <v>830</v>
      </c>
      <c r="J4" s="56"/>
      <c r="K4" s="56"/>
      <c r="L4" s="84"/>
      <c r="M4" s="30"/>
    </row>
    <row r="5" spans="1:62" x14ac:dyDescent="0.2">
      <c r="A5" s="86"/>
      <c r="B5" s="56"/>
      <c r="C5" s="56"/>
      <c r="D5" s="56"/>
      <c r="E5" s="56"/>
      <c r="F5" s="56"/>
      <c r="G5" s="56"/>
      <c r="H5" s="56"/>
      <c r="I5" s="56"/>
      <c r="J5" s="56"/>
      <c r="K5" s="56"/>
      <c r="L5" s="84"/>
      <c r="M5" s="30"/>
    </row>
    <row r="6" spans="1:62" x14ac:dyDescent="0.2">
      <c r="A6" s="80" t="s">
        <v>3</v>
      </c>
      <c r="B6" s="56"/>
      <c r="C6" s="55" t="s">
        <v>328</v>
      </c>
      <c r="D6" s="83" t="s">
        <v>812</v>
      </c>
      <c r="E6" s="56"/>
      <c r="F6" s="83" t="s">
        <v>6</v>
      </c>
      <c r="G6" s="56"/>
      <c r="H6" s="55" t="s">
        <v>825</v>
      </c>
      <c r="I6" s="55" t="s">
        <v>831</v>
      </c>
      <c r="J6" s="56"/>
      <c r="K6" s="56"/>
      <c r="L6" s="84"/>
      <c r="M6" s="30"/>
    </row>
    <row r="7" spans="1:62" x14ac:dyDescent="0.2">
      <c r="A7" s="86"/>
      <c r="B7" s="56"/>
      <c r="C7" s="56"/>
      <c r="D7" s="56"/>
      <c r="E7" s="56"/>
      <c r="F7" s="56"/>
      <c r="G7" s="56"/>
      <c r="H7" s="56"/>
      <c r="I7" s="56"/>
      <c r="J7" s="56"/>
      <c r="K7" s="56"/>
      <c r="L7" s="84"/>
      <c r="M7" s="30"/>
    </row>
    <row r="8" spans="1:62" x14ac:dyDescent="0.2">
      <c r="A8" s="80" t="s">
        <v>4</v>
      </c>
      <c r="B8" s="56"/>
      <c r="C8" s="55" t="s">
        <v>6</v>
      </c>
      <c r="D8" s="83" t="s">
        <v>813</v>
      </c>
      <c r="E8" s="56"/>
      <c r="F8" s="83" t="s">
        <v>814</v>
      </c>
      <c r="G8" s="56"/>
      <c r="H8" s="55" t="s">
        <v>826</v>
      </c>
      <c r="I8" s="55" t="s">
        <v>830</v>
      </c>
      <c r="J8" s="56"/>
      <c r="K8" s="56"/>
      <c r="L8" s="84"/>
      <c r="M8" s="30"/>
    </row>
    <row r="9" spans="1:62" x14ac:dyDescent="0.2">
      <c r="A9" s="81"/>
      <c r="B9" s="82"/>
      <c r="C9" s="82"/>
      <c r="D9" s="82"/>
      <c r="E9" s="82"/>
      <c r="F9" s="82"/>
      <c r="G9" s="82"/>
      <c r="H9" s="82"/>
      <c r="I9" s="82"/>
      <c r="J9" s="82"/>
      <c r="K9" s="82"/>
      <c r="L9" s="85"/>
      <c r="M9" s="30"/>
    </row>
    <row r="10" spans="1:62" x14ac:dyDescent="0.2">
      <c r="A10" s="1" t="s">
        <v>5</v>
      </c>
      <c r="B10" s="10" t="s">
        <v>160</v>
      </c>
      <c r="C10" s="69" t="s">
        <v>329</v>
      </c>
      <c r="D10" s="70"/>
      <c r="E10" s="71"/>
      <c r="F10" s="10" t="s">
        <v>815</v>
      </c>
      <c r="G10" s="14" t="s">
        <v>822</v>
      </c>
      <c r="H10" s="19" t="s">
        <v>827</v>
      </c>
      <c r="I10" s="72" t="s">
        <v>832</v>
      </c>
      <c r="J10" s="73"/>
      <c r="K10" s="74"/>
      <c r="L10" s="24" t="s">
        <v>837</v>
      </c>
      <c r="M10" s="31"/>
    </row>
    <row r="11" spans="1:62" x14ac:dyDescent="0.2">
      <c r="A11" s="2" t="s">
        <v>6</v>
      </c>
      <c r="B11" s="11" t="s">
        <v>6</v>
      </c>
      <c r="C11" s="75" t="s">
        <v>330</v>
      </c>
      <c r="D11" s="76"/>
      <c r="E11" s="77"/>
      <c r="F11" s="11" t="s">
        <v>6</v>
      </c>
      <c r="G11" s="11" t="s">
        <v>6</v>
      </c>
      <c r="H11" s="20" t="s">
        <v>828</v>
      </c>
      <c r="I11" s="21" t="s">
        <v>833</v>
      </c>
      <c r="J11" s="22" t="s">
        <v>835</v>
      </c>
      <c r="K11" s="23" t="s">
        <v>836</v>
      </c>
      <c r="L11" s="25" t="s">
        <v>838</v>
      </c>
      <c r="M11" s="31"/>
      <c r="Z11" s="28" t="s">
        <v>842</v>
      </c>
      <c r="AA11" s="28" t="s">
        <v>843</v>
      </c>
      <c r="AB11" s="28" t="s">
        <v>844</v>
      </c>
      <c r="AC11" s="28" t="s">
        <v>845</v>
      </c>
      <c r="AD11" s="28" t="s">
        <v>846</v>
      </c>
      <c r="AE11" s="28" t="s">
        <v>847</v>
      </c>
      <c r="AF11" s="28" t="s">
        <v>848</v>
      </c>
      <c r="AG11" s="28" t="s">
        <v>849</v>
      </c>
      <c r="AH11" s="28" t="s">
        <v>850</v>
      </c>
      <c r="BH11" s="28" t="s">
        <v>892</v>
      </c>
      <c r="BI11" s="28" t="s">
        <v>893</v>
      </c>
      <c r="BJ11" s="28" t="s">
        <v>894</v>
      </c>
    </row>
    <row r="12" spans="1:62" x14ac:dyDescent="0.2">
      <c r="A12" s="3"/>
      <c r="B12" s="12" t="s">
        <v>7</v>
      </c>
      <c r="C12" s="78" t="s">
        <v>331</v>
      </c>
      <c r="D12" s="79"/>
      <c r="E12" s="79"/>
      <c r="F12" s="3" t="s">
        <v>6</v>
      </c>
      <c r="G12" s="3" t="s">
        <v>6</v>
      </c>
      <c r="H12" s="3" t="s">
        <v>6</v>
      </c>
      <c r="I12" s="34">
        <f>SUM(I13:I13)</f>
        <v>0</v>
      </c>
      <c r="J12" s="34">
        <f>SUM(J13:J13)</f>
        <v>0</v>
      </c>
      <c r="K12" s="34">
        <f>SUM(K13:K13)</f>
        <v>0</v>
      </c>
      <c r="L12" s="26"/>
      <c r="AI12" s="28"/>
      <c r="AS12" s="35">
        <f>SUM(AJ13:AJ13)</f>
        <v>0</v>
      </c>
      <c r="AT12" s="35">
        <f>SUM(AK13:AK13)</f>
        <v>0</v>
      </c>
      <c r="AU12" s="35">
        <f>SUM(AL13:AL13)</f>
        <v>0</v>
      </c>
    </row>
    <row r="13" spans="1:62" x14ac:dyDescent="0.2">
      <c r="A13" s="4" t="s">
        <v>7</v>
      </c>
      <c r="B13" s="4" t="s">
        <v>162</v>
      </c>
      <c r="C13" s="59" t="s">
        <v>334</v>
      </c>
      <c r="D13" s="60"/>
      <c r="E13" s="60"/>
      <c r="F13" s="4" t="s">
        <v>817</v>
      </c>
      <c r="G13" s="15">
        <v>62.25</v>
      </c>
      <c r="H13" s="15">
        <v>0</v>
      </c>
      <c r="I13" s="15">
        <f>G13*AO13</f>
        <v>0</v>
      </c>
      <c r="J13" s="15">
        <f>G13*AP13</f>
        <v>0</v>
      </c>
      <c r="K13" s="15">
        <f>G13*H13</f>
        <v>0</v>
      </c>
      <c r="L13" s="27" t="s">
        <v>839</v>
      </c>
      <c r="Z13" s="32">
        <f>IF(AQ13="5",BJ13,0)</f>
        <v>0</v>
      </c>
      <c r="AB13" s="32">
        <f>IF(AQ13="1",BH13,0)</f>
        <v>0</v>
      </c>
      <c r="AC13" s="32">
        <f>IF(AQ13="1",BI13,0)</f>
        <v>0</v>
      </c>
      <c r="AD13" s="32">
        <f>IF(AQ13="7",BH13,0)</f>
        <v>0</v>
      </c>
      <c r="AE13" s="32">
        <f>IF(AQ13="7",BI13,0)</f>
        <v>0</v>
      </c>
      <c r="AF13" s="32">
        <f>IF(AQ13="2",BH13,0)</f>
        <v>0</v>
      </c>
      <c r="AG13" s="32">
        <f>IF(AQ13="2",BI13,0)</f>
        <v>0</v>
      </c>
      <c r="AH13" s="32">
        <f>IF(AQ13="0",BJ13,0)</f>
        <v>0</v>
      </c>
      <c r="AI13" s="28"/>
      <c r="AJ13" s="15">
        <f>IF(AN13=0,K13,0)</f>
        <v>0</v>
      </c>
      <c r="AK13" s="15">
        <f>IF(AN13=15,K13,0)</f>
        <v>0</v>
      </c>
      <c r="AL13" s="15">
        <f>IF(AN13=21,K13,0)</f>
        <v>0</v>
      </c>
      <c r="AN13" s="32">
        <v>21</v>
      </c>
      <c r="AO13" s="32">
        <f>H13*0</f>
        <v>0</v>
      </c>
      <c r="AP13" s="32">
        <f>H13*(1-0)</f>
        <v>0</v>
      </c>
      <c r="AQ13" s="27" t="s">
        <v>7</v>
      </c>
      <c r="AV13" s="32">
        <f>AW13+AX13</f>
        <v>0</v>
      </c>
      <c r="AW13" s="32">
        <f>G13*AO13</f>
        <v>0</v>
      </c>
      <c r="AX13" s="32">
        <f>G13*AP13</f>
        <v>0</v>
      </c>
      <c r="AY13" s="33" t="s">
        <v>851</v>
      </c>
      <c r="AZ13" s="33" t="s">
        <v>851</v>
      </c>
      <c r="BA13" s="28" t="s">
        <v>891</v>
      </c>
      <c r="BC13" s="32">
        <f>AW13+AX13</f>
        <v>0</v>
      </c>
      <c r="BD13" s="32">
        <f>H13/(100-BE13)*100</f>
        <v>0</v>
      </c>
      <c r="BE13" s="32">
        <v>0</v>
      </c>
      <c r="BF13" s="32">
        <f>16</f>
        <v>16</v>
      </c>
      <c r="BH13" s="15">
        <f>G13*AO13</f>
        <v>0</v>
      </c>
      <c r="BI13" s="15">
        <f>G13*AP13</f>
        <v>0</v>
      </c>
      <c r="BJ13" s="15">
        <f>G13*H13</f>
        <v>0</v>
      </c>
    </row>
    <row r="14" spans="1:62" x14ac:dyDescent="0.2">
      <c r="C14" s="57" t="s">
        <v>335</v>
      </c>
      <c r="D14" s="58"/>
      <c r="E14" s="58"/>
      <c r="G14" s="16">
        <v>62.25</v>
      </c>
    </row>
    <row r="15" spans="1:62" x14ac:dyDescent="0.2">
      <c r="A15" s="5"/>
      <c r="B15" s="13" t="s">
        <v>18</v>
      </c>
      <c r="C15" s="65" t="s">
        <v>336</v>
      </c>
      <c r="D15" s="66"/>
      <c r="E15" s="66"/>
      <c r="F15" s="5" t="s">
        <v>6</v>
      </c>
      <c r="G15" s="5" t="s">
        <v>6</v>
      </c>
      <c r="H15" s="5" t="s">
        <v>6</v>
      </c>
      <c r="I15" s="35">
        <f>SUM(I16:I16)</f>
        <v>0</v>
      </c>
      <c r="J15" s="35">
        <f>SUM(J16:J16)</f>
        <v>0</v>
      </c>
      <c r="K15" s="35">
        <f>SUM(K16:K16)</f>
        <v>0</v>
      </c>
      <c r="L15" s="28"/>
      <c r="AI15" s="28"/>
      <c r="AS15" s="35">
        <f>SUM(AJ16:AJ16)</f>
        <v>0</v>
      </c>
      <c r="AT15" s="35">
        <f>SUM(AK16:AK16)</f>
        <v>0</v>
      </c>
      <c r="AU15" s="35">
        <f>SUM(AL16:AL16)</f>
        <v>0</v>
      </c>
    </row>
    <row r="16" spans="1:62" x14ac:dyDescent="0.2">
      <c r="A16" s="4" t="s">
        <v>8</v>
      </c>
      <c r="B16" s="4" t="s">
        <v>163</v>
      </c>
      <c r="C16" s="59" t="s">
        <v>337</v>
      </c>
      <c r="D16" s="60"/>
      <c r="E16" s="60"/>
      <c r="F16" s="4" t="s">
        <v>818</v>
      </c>
      <c r="G16" s="15">
        <v>41.58</v>
      </c>
      <c r="H16" s="15">
        <v>0</v>
      </c>
      <c r="I16" s="15">
        <f>G16*AO16</f>
        <v>0</v>
      </c>
      <c r="J16" s="15">
        <f>G16*AP16</f>
        <v>0</v>
      </c>
      <c r="K16" s="15">
        <f>G16*H16</f>
        <v>0</v>
      </c>
      <c r="L16" s="27" t="s">
        <v>839</v>
      </c>
      <c r="Z16" s="32">
        <f>IF(AQ16="5",BJ16,0)</f>
        <v>0</v>
      </c>
      <c r="AB16" s="32">
        <f>IF(AQ16="1",BH16,0)</f>
        <v>0</v>
      </c>
      <c r="AC16" s="32">
        <f>IF(AQ16="1",BI16,0)</f>
        <v>0</v>
      </c>
      <c r="AD16" s="32">
        <f>IF(AQ16="7",BH16,0)</f>
        <v>0</v>
      </c>
      <c r="AE16" s="32">
        <f>IF(AQ16="7",BI16,0)</f>
        <v>0</v>
      </c>
      <c r="AF16" s="32">
        <f>IF(AQ16="2",BH16,0)</f>
        <v>0</v>
      </c>
      <c r="AG16" s="32">
        <f>IF(AQ16="2",BI16,0)</f>
        <v>0</v>
      </c>
      <c r="AH16" s="32">
        <f>IF(AQ16="0",BJ16,0)</f>
        <v>0</v>
      </c>
      <c r="AI16" s="28"/>
      <c r="AJ16" s="15">
        <f>IF(AN16=0,K16,0)</f>
        <v>0</v>
      </c>
      <c r="AK16" s="15">
        <f>IF(AN16=15,K16,0)</f>
        <v>0</v>
      </c>
      <c r="AL16" s="15">
        <f>IF(AN16=21,K16,0)</f>
        <v>0</v>
      </c>
      <c r="AN16" s="32">
        <v>21</v>
      </c>
      <c r="AO16" s="32">
        <f>H16*0</f>
        <v>0</v>
      </c>
      <c r="AP16" s="32">
        <f>H16*(1-0)</f>
        <v>0</v>
      </c>
      <c r="AQ16" s="27" t="s">
        <v>7</v>
      </c>
      <c r="AV16" s="32">
        <f>AW16+AX16</f>
        <v>0</v>
      </c>
      <c r="AW16" s="32">
        <f>G16*AO16</f>
        <v>0</v>
      </c>
      <c r="AX16" s="32">
        <f>G16*AP16</f>
        <v>0</v>
      </c>
      <c r="AY16" s="33" t="s">
        <v>852</v>
      </c>
      <c r="AZ16" s="33" t="s">
        <v>851</v>
      </c>
      <c r="BA16" s="28" t="s">
        <v>891</v>
      </c>
      <c r="BC16" s="32">
        <f>AW16+AX16</f>
        <v>0</v>
      </c>
      <c r="BD16" s="32">
        <f>H16/(100-BE16)*100</f>
        <v>0</v>
      </c>
      <c r="BE16" s="32">
        <v>0</v>
      </c>
      <c r="BF16" s="32">
        <f>19</f>
        <v>19</v>
      </c>
      <c r="BH16" s="15">
        <f>G16*AO16</f>
        <v>0</v>
      </c>
      <c r="BI16" s="15">
        <f>G16*AP16</f>
        <v>0</v>
      </c>
      <c r="BJ16" s="15">
        <f>G16*H16</f>
        <v>0</v>
      </c>
    </row>
    <row r="17" spans="1:62" x14ac:dyDescent="0.2">
      <c r="C17" s="57" t="s">
        <v>338</v>
      </c>
      <c r="D17" s="58"/>
      <c r="E17" s="58"/>
      <c r="G17" s="16">
        <v>16.02</v>
      </c>
    </row>
    <row r="18" spans="1:62" x14ac:dyDescent="0.2">
      <c r="C18" s="57" t="s">
        <v>339</v>
      </c>
      <c r="D18" s="58"/>
      <c r="E18" s="58"/>
      <c r="G18" s="16">
        <v>25.56</v>
      </c>
    </row>
    <row r="19" spans="1:62" x14ac:dyDescent="0.2">
      <c r="A19" s="5"/>
      <c r="B19" s="13" t="s">
        <v>21</v>
      </c>
      <c r="C19" s="65" t="s">
        <v>340</v>
      </c>
      <c r="D19" s="66"/>
      <c r="E19" s="66"/>
      <c r="F19" s="5" t="s">
        <v>6</v>
      </c>
      <c r="G19" s="5" t="s">
        <v>6</v>
      </c>
      <c r="H19" s="5" t="s">
        <v>6</v>
      </c>
      <c r="I19" s="35">
        <f>SUM(I20:I23)</f>
        <v>0</v>
      </c>
      <c r="J19" s="35">
        <f>SUM(J20:J23)</f>
        <v>0</v>
      </c>
      <c r="K19" s="35">
        <f>SUM(K20:K23)</f>
        <v>0</v>
      </c>
      <c r="L19" s="28"/>
      <c r="AI19" s="28"/>
      <c r="AS19" s="35">
        <f>SUM(AJ20:AJ23)</f>
        <v>0</v>
      </c>
      <c r="AT19" s="35">
        <f>SUM(AK20:AK23)</f>
        <v>0</v>
      </c>
      <c r="AU19" s="35">
        <f>SUM(AL20:AL23)</f>
        <v>0</v>
      </c>
    </row>
    <row r="20" spans="1:62" x14ac:dyDescent="0.2">
      <c r="A20" s="4" t="s">
        <v>9</v>
      </c>
      <c r="B20" s="4" t="s">
        <v>164</v>
      </c>
      <c r="C20" s="59" t="s">
        <v>341</v>
      </c>
      <c r="D20" s="60"/>
      <c r="E20" s="60"/>
      <c r="F20" s="4" t="s">
        <v>818</v>
      </c>
      <c r="G20" s="15">
        <v>9.702</v>
      </c>
      <c r="H20" s="15">
        <v>0</v>
      </c>
      <c r="I20" s="15">
        <f>G20*AO20</f>
        <v>0</v>
      </c>
      <c r="J20" s="15">
        <f>G20*AP20</f>
        <v>0</v>
      </c>
      <c r="K20" s="15">
        <f>G20*H20</f>
        <v>0</v>
      </c>
      <c r="L20" s="27" t="s">
        <v>839</v>
      </c>
      <c r="Z20" s="32">
        <f>IF(AQ20="5",BJ20,0)</f>
        <v>0</v>
      </c>
      <c r="AB20" s="32">
        <f>IF(AQ20="1",BH20,0)</f>
        <v>0</v>
      </c>
      <c r="AC20" s="32">
        <f>IF(AQ20="1",BI20,0)</f>
        <v>0</v>
      </c>
      <c r="AD20" s="32">
        <f>IF(AQ20="7",BH20,0)</f>
        <v>0</v>
      </c>
      <c r="AE20" s="32">
        <f>IF(AQ20="7",BI20,0)</f>
        <v>0</v>
      </c>
      <c r="AF20" s="32">
        <f>IF(AQ20="2",BH20,0)</f>
        <v>0</v>
      </c>
      <c r="AG20" s="32">
        <f>IF(AQ20="2",BI20,0)</f>
        <v>0</v>
      </c>
      <c r="AH20" s="32">
        <f>IF(AQ20="0",BJ20,0)</f>
        <v>0</v>
      </c>
      <c r="AI20" s="28"/>
      <c r="AJ20" s="15">
        <f>IF(AN20=0,K20,0)</f>
        <v>0</v>
      </c>
      <c r="AK20" s="15">
        <f>IF(AN20=15,K20,0)</f>
        <v>0</v>
      </c>
      <c r="AL20" s="15">
        <f>IF(AN20=21,K20,0)</f>
        <v>0</v>
      </c>
      <c r="AN20" s="32">
        <v>21</v>
      </c>
      <c r="AO20" s="32">
        <f>H20*0</f>
        <v>0</v>
      </c>
      <c r="AP20" s="32">
        <f>H20*(1-0)</f>
        <v>0</v>
      </c>
      <c r="AQ20" s="27" t="s">
        <v>7</v>
      </c>
      <c r="AV20" s="32">
        <f>AW20+AX20</f>
        <v>0</v>
      </c>
      <c r="AW20" s="32">
        <f>G20*AO20</f>
        <v>0</v>
      </c>
      <c r="AX20" s="32">
        <f>G20*AP20</f>
        <v>0</v>
      </c>
      <c r="AY20" s="33" t="s">
        <v>853</v>
      </c>
      <c r="AZ20" s="33" t="s">
        <v>851</v>
      </c>
      <c r="BA20" s="28" t="s">
        <v>891</v>
      </c>
      <c r="BC20" s="32">
        <f>AW20+AX20</f>
        <v>0</v>
      </c>
      <c r="BD20" s="32">
        <f>H20/(100-BE20)*100</f>
        <v>0</v>
      </c>
      <c r="BE20" s="32">
        <v>0</v>
      </c>
      <c r="BF20" s="32">
        <f>23</f>
        <v>23</v>
      </c>
      <c r="BH20" s="15">
        <f>G20*AO20</f>
        <v>0</v>
      </c>
      <c r="BI20" s="15">
        <f>G20*AP20</f>
        <v>0</v>
      </c>
      <c r="BJ20" s="15">
        <f>G20*H20</f>
        <v>0</v>
      </c>
    </row>
    <row r="21" spans="1:62" x14ac:dyDescent="0.2">
      <c r="C21" s="57" t="s">
        <v>342</v>
      </c>
      <c r="D21" s="58"/>
      <c r="E21" s="58"/>
      <c r="G21" s="16">
        <v>31.878</v>
      </c>
    </row>
    <row r="22" spans="1:62" x14ac:dyDescent="0.2">
      <c r="C22" s="57" t="s">
        <v>343</v>
      </c>
      <c r="D22" s="58"/>
      <c r="E22" s="58"/>
      <c r="G22" s="16">
        <v>-22.175999999999998</v>
      </c>
    </row>
    <row r="23" spans="1:62" x14ac:dyDescent="0.2">
      <c r="A23" s="4" t="s">
        <v>10</v>
      </c>
      <c r="B23" s="4" t="s">
        <v>165</v>
      </c>
      <c r="C23" s="59" t="s">
        <v>344</v>
      </c>
      <c r="D23" s="60"/>
      <c r="E23" s="60"/>
      <c r="F23" s="4" t="s">
        <v>818</v>
      </c>
      <c r="G23" s="15">
        <v>9.702</v>
      </c>
      <c r="H23" s="15">
        <v>0</v>
      </c>
      <c r="I23" s="15">
        <f>G23*AO23</f>
        <v>0</v>
      </c>
      <c r="J23" s="15">
        <f>G23*AP23</f>
        <v>0</v>
      </c>
      <c r="K23" s="15">
        <f>G23*H23</f>
        <v>0</v>
      </c>
      <c r="L23" s="27" t="s">
        <v>839</v>
      </c>
      <c r="Z23" s="32">
        <f>IF(AQ23="5",BJ23,0)</f>
        <v>0</v>
      </c>
      <c r="AB23" s="32">
        <f>IF(AQ23="1",BH23,0)</f>
        <v>0</v>
      </c>
      <c r="AC23" s="32">
        <f>IF(AQ23="1",BI23,0)</f>
        <v>0</v>
      </c>
      <c r="AD23" s="32">
        <f>IF(AQ23="7",BH23,0)</f>
        <v>0</v>
      </c>
      <c r="AE23" s="32">
        <f>IF(AQ23="7",BI23,0)</f>
        <v>0</v>
      </c>
      <c r="AF23" s="32">
        <f>IF(AQ23="2",BH23,0)</f>
        <v>0</v>
      </c>
      <c r="AG23" s="32">
        <f>IF(AQ23="2",BI23,0)</f>
        <v>0</v>
      </c>
      <c r="AH23" s="32">
        <f>IF(AQ23="0",BJ23,0)</f>
        <v>0</v>
      </c>
      <c r="AI23" s="28"/>
      <c r="AJ23" s="15">
        <f>IF(AN23=0,K23,0)</f>
        <v>0</v>
      </c>
      <c r="AK23" s="15">
        <f>IF(AN23=15,K23,0)</f>
        <v>0</v>
      </c>
      <c r="AL23" s="15">
        <f>IF(AN23=21,K23,0)</f>
        <v>0</v>
      </c>
      <c r="AN23" s="32">
        <v>21</v>
      </c>
      <c r="AO23" s="32">
        <f>H23*0</f>
        <v>0</v>
      </c>
      <c r="AP23" s="32">
        <f>H23*(1-0)</f>
        <v>0</v>
      </c>
      <c r="AQ23" s="27" t="s">
        <v>7</v>
      </c>
      <c r="AV23" s="32">
        <f>AW23+AX23</f>
        <v>0</v>
      </c>
      <c r="AW23" s="32">
        <f>G23*AO23</f>
        <v>0</v>
      </c>
      <c r="AX23" s="32">
        <f>G23*AP23</f>
        <v>0</v>
      </c>
      <c r="AY23" s="33" t="s">
        <v>853</v>
      </c>
      <c r="AZ23" s="33" t="s">
        <v>851</v>
      </c>
      <c r="BA23" s="28" t="s">
        <v>891</v>
      </c>
      <c r="BC23" s="32">
        <f>AW23+AX23</f>
        <v>0</v>
      </c>
      <c r="BD23" s="32">
        <f>H23/(100-BE23)*100</f>
        <v>0</v>
      </c>
      <c r="BE23" s="32">
        <v>0</v>
      </c>
      <c r="BF23" s="32">
        <f>26</f>
        <v>26</v>
      </c>
      <c r="BH23" s="15">
        <f>G23*AO23</f>
        <v>0</v>
      </c>
      <c r="BI23" s="15">
        <f>G23*AP23</f>
        <v>0</v>
      </c>
      <c r="BJ23" s="15">
        <f>G23*H23</f>
        <v>0</v>
      </c>
    </row>
    <row r="24" spans="1:62" x14ac:dyDescent="0.2">
      <c r="C24" s="57" t="s">
        <v>345</v>
      </c>
      <c r="D24" s="58"/>
      <c r="E24" s="58"/>
      <c r="G24" s="16">
        <v>9.702</v>
      </c>
    </row>
    <row r="25" spans="1:62" x14ac:dyDescent="0.2">
      <c r="A25" s="5"/>
      <c r="B25" s="13" t="s">
        <v>22</v>
      </c>
      <c r="C25" s="65" t="s">
        <v>346</v>
      </c>
      <c r="D25" s="66"/>
      <c r="E25" s="66"/>
      <c r="F25" s="5" t="s">
        <v>6</v>
      </c>
      <c r="G25" s="5" t="s">
        <v>6</v>
      </c>
      <c r="H25" s="5" t="s">
        <v>6</v>
      </c>
      <c r="I25" s="35">
        <f>SUM(I26:I32)</f>
        <v>0</v>
      </c>
      <c r="J25" s="35">
        <f>SUM(J26:J32)</f>
        <v>0</v>
      </c>
      <c r="K25" s="35">
        <f>SUM(K26:K32)</f>
        <v>0</v>
      </c>
      <c r="L25" s="28"/>
      <c r="AI25" s="28"/>
      <c r="AS25" s="35">
        <f>SUM(AJ26:AJ32)</f>
        <v>0</v>
      </c>
      <c r="AT25" s="35">
        <f>SUM(AK26:AK32)</f>
        <v>0</v>
      </c>
      <c r="AU25" s="35">
        <f>SUM(AL26:AL32)</f>
        <v>0</v>
      </c>
    </row>
    <row r="26" spans="1:62" x14ac:dyDescent="0.2">
      <c r="A26" s="4" t="s">
        <v>11</v>
      </c>
      <c r="B26" s="4" t="s">
        <v>166</v>
      </c>
      <c r="C26" s="59" t="s">
        <v>347</v>
      </c>
      <c r="D26" s="60"/>
      <c r="E26" s="60"/>
      <c r="F26" s="4" t="s">
        <v>818</v>
      </c>
      <c r="G26" s="15">
        <v>31.878</v>
      </c>
      <c r="H26" s="15">
        <v>0</v>
      </c>
      <c r="I26" s="15">
        <f>G26*AO26</f>
        <v>0</v>
      </c>
      <c r="J26" s="15">
        <f>G26*AP26</f>
        <v>0</v>
      </c>
      <c r="K26" s="15">
        <f>G26*H26</f>
        <v>0</v>
      </c>
      <c r="L26" s="27" t="s">
        <v>839</v>
      </c>
      <c r="Z26" s="32">
        <f>IF(AQ26="5",BJ26,0)</f>
        <v>0</v>
      </c>
      <c r="AB26" s="32">
        <f>IF(AQ26="1",BH26,0)</f>
        <v>0</v>
      </c>
      <c r="AC26" s="32">
        <f>IF(AQ26="1",BI26,0)</f>
        <v>0</v>
      </c>
      <c r="AD26" s="32">
        <f>IF(AQ26="7",BH26,0)</f>
        <v>0</v>
      </c>
      <c r="AE26" s="32">
        <f>IF(AQ26="7",BI26,0)</f>
        <v>0</v>
      </c>
      <c r="AF26" s="32">
        <f>IF(AQ26="2",BH26,0)</f>
        <v>0</v>
      </c>
      <c r="AG26" s="32">
        <f>IF(AQ26="2",BI26,0)</f>
        <v>0</v>
      </c>
      <c r="AH26" s="32">
        <f>IF(AQ26="0",BJ26,0)</f>
        <v>0</v>
      </c>
      <c r="AI26" s="28"/>
      <c r="AJ26" s="15">
        <f>IF(AN26=0,K26,0)</f>
        <v>0</v>
      </c>
      <c r="AK26" s="15">
        <f>IF(AN26=15,K26,0)</f>
        <v>0</v>
      </c>
      <c r="AL26" s="15">
        <f>IF(AN26=21,K26,0)</f>
        <v>0</v>
      </c>
      <c r="AN26" s="32">
        <v>21</v>
      </c>
      <c r="AO26" s="32">
        <f>H26*0</f>
        <v>0</v>
      </c>
      <c r="AP26" s="32">
        <f>H26*(1-0)</f>
        <v>0</v>
      </c>
      <c r="AQ26" s="27" t="s">
        <v>7</v>
      </c>
      <c r="AV26" s="32">
        <f>AW26+AX26</f>
        <v>0</v>
      </c>
      <c r="AW26" s="32">
        <f>G26*AO26</f>
        <v>0</v>
      </c>
      <c r="AX26" s="32">
        <f>G26*AP26</f>
        <v>0</v>
      </c>
      <c r="AY26" s="33" t="s">
        <v>854</v>
      </c>
      <c r="AZ26" s="33" t="s">
        <v>851</v>
      </c>
      <c r="BA26" s="28" t="s">
        <v>891</v>
      </c>
      <c r="BC26" s="32">
        <f>AW26+AX26</f>
        <v>0</v>
      </c>
      <c r="BD26" s="32">
        <f>H26/(100-BE26)*100</f>
        <v>0</v>
      </c>
      <c r="BE26" s="32">
        <v>0</v>
      </c>
      <c r="BF26" s="32">
        <f>29</f>
        <v>29</v>
      </c>
      <c r="BH26" s="15">
        <f>G26*AO26</f>
        <v>0</v>
      </c>
      <c r="BI26" s="15">
        <f>G26*AP26</f>
        <v>0</v>
      </c>
      <c r="BJ26" s="15">
        <f>G26*H26</f>
        <v>0</v>
      </c>
    </row>
    <row r="27" spans="1:62" x14ac:dyDescent="0.2">
      <c r="C27" s="57" t="s">
        <v>348</v>
      </c>
      <c r="D27" s="58"/>
      <c r="E27" s="58"/>
      <c r="G27" s="16">
        <v>41.58</v>
      </c>
    </row>
    <row r="28" spans="1:62" x14ac:dyDescent="0.2">
      <c r="C28" s="57" t="s">
        <v>349</v>
      </c>
      <c r="D28" s="58"/>
      <c r="E28" s="58"/>
      <c r="G28" s="16">
        <v>-3.738</v>
      </c>
    </row>
    <row r="29" spans="1:62" x14ac:dyDescent="0.2">
      <c r="C29" s="57" t="s">
        <v>350</v>
      </c>
      <c r="D29" s="58"/>
      <c r="E29" s="58"/>
      <c r="G29" s="16">
        <v>-5.9640000000000004</v>
      </c>
    </row>
    <row r="30" spans="1:62" x14ac:dyDescent="0.2">
      <c r="A30" s="4" t="s">
        <v>12</v>
      </c>
      <c r="B30" s="4" t="s">
        <v>167</v>
      </c>
      <c r="C30" s="59" t="s">
        <v>351</v>
      </c>
      <c r="D30" s="60"/>
      <c r="E30" s="60"/>
      <c r="F30" s="4" t="s">
        <v>818</v>
      </c>
      <c r="G30" s="15">
        <v>9.702</v>
      </c>
      <c r="H30" s="15">
        <v>0</v>
      </c>
      <c r="I30" s="15">
        <f>G30*AO30</f>
        <v>0</v>
      </c>
      <c r="J30" s="15">
        <f>G30*AP30</f>
        <v>0</v>
      </c>
      <c r="K30" s="15">
        <f>G30*H30</f>
        <v>0</v>
      </c>
      <c r="L30" s="27" t="s">
        <v>839</v>
      </c>
      <c r="Z30" s="32">
        <f>IF(AQ30="5",BJ30,0)</f>
        <v>0</v>
      </c>
      <c r="AB30" s="32">
        <f>IF(AQ30="1",BH30,0)</f>
        <v>0</v>
      </c>
      <c r="AC30" s="32">
        <f>IF(AQ30="1",BI30,0)</f>
        <v>0</v>
      </c>
      <c r="AD30" s="32">
        <f>IF(AQ30="7",BH30,0)</f>
        <v>0</v>
      </c>
      <c r="AE30" s="32">
        <f>IF(AQ30="7",BI30,0)</f>
        <v>0</v>
      </c>
      <c r="AF30" s="32">
        <f>IF(AQ30="2",BH30,0)</f>
        <v>0</v>
      </c>
      <c r="AG30" s="32">
        <f>IF(AQ30="2",BI30,0)</f>
        <v>0</v>
      </c>
      <c r="AH30" s="32">
        <f>IF(AQ30="0",BJ30,0)</f>
        <v>0</v>
      </c>
      <c r="AI30" s="28"/>
      <c r="AJ30" s="15">
        <f>IF(AN30=0,K30,0)</f>
        <v>0</v>
      </c>
      <c r="AK30" s="15">
        <f>IF(AN30=15,K30,0)</f>
        <v>0</v>
      </c>
      <c r="AL30" s="15">
        <f>IF(AN30=21,K30,0)</f>
        <v>0</v>
      </c>
      <c r="AN30" s="32">
        <v>21</v>
      </c>
      <c r="AO30" s="32">
        <f>H30*0</f>
        <v>0</v>
      </c>
      <c r="AP30" s="32">
        <f>H30*(1-0)</f>
        <v>0</v>
      </c>
      <c r="AQ30" s="27" t="s">
        <v>7</v>
      </c>
      <c r="AV30" s="32">
        <f>AW30+AX30</f>
        <v>0</v>
      </c>
      <c r="AW30" s="32">
        <f>G30*AO30</f>
        <v>0</v>
      </c>
      <c r="AX30" s="32">
        <f>G30*AP30</f>
        <v>0</v>
      </c>
      <c r="AY30" s="33" t="s">
        <v>854</v>
      </c>
      <c r="AZ30" s="33" t="s">
        <v>851</v>
      </c>
      <c r="BA30" s="28" t="s">
        <v>891</v>
      </c>
      <c r="BC30" s="32">
        <f>AW30+AX30</f>
        <v>0</v>
      </c>
      <c r="BD30" s="32">
        <f>H30/(100-BE30)*100</f>
        <v>0</v>
      </c>
      <c r="BE30" s="32">
        <v>0</v>
      </c>
      <c r="BF30" s="32">
        <f>33</f>
        <v>33</v>
      </c>
      <c r="BH30" s="15">
        <f>G30*AO30</f>
        <v>0</v>
      </c>
      <c r="BI30" s="15">
        <f>G30*AP30</f>
        <v>0</v>
      </c>
      <c r="BJ30" s="15">
        <f>G30*H30</f>
        <v>0</v>
      </c>
    </row>
    <row r="31" spans="1:62" x14ac:dyDescent="0.2">
      <c r="C31" s="57" t="s">
        <v>345</v>
      </c>
      <c r="D31" s="58"/>
      <c r="E31" s="58"/>
      <c r="G31" s="16">
        <v>9.702</v>
      </c>
    </row>
    <row r="32" spans="1:62" x14ac:dyDescent="0.2">
      <c r="A32" s="4" t="s">
        <v>13</v>
      </c>
      <c r="B32" s="4" t="s">
        <v>168</v>
      </c>
      <c r="C32" s="59" t="s">
        <v>352</v>
      </c>
      <c r="D32" s="60"/>
      <c r="E32" s="60"/>
      <c r="F32" s="4" t="s">
        <v>818</v>
      </c>
      <c r="G32" s="15">
        <v>9.702</v>
      </c>
      <c r="H32" s="15">
        <v>0</v>
      </c>
      <c r="I32" s="15">
        <f>G32*AO32</f>
        <v>0</v>
      </c>
      <c r="J32" s="15">
        <f>G32*AP32</f>
        <v>0</v>
      </c>
      <c r="K32" s="15">
        <f>G32*H32</f>
        <v>0</v>
      </c>
      <c r="L32" s="27" t="s">
        <v>839</v>
      </c>
      <c r="Z32" s="32">
        <f>IF(AQ32="5",BJ32,0)</f>
        <v>0</v>
      </c>
      <c r="AB32" s="32">
        <f>IF(AQ32="1",BH32,0)</f>
        <v>0</v>
      </c>
      <c r="AC32" s="32">
        <f>IF(AQ32="1",BI32,0)</f>
        <v>0</v>
      </c>
      <c r="AD32" s="32">
        <f>IF(AQ32="7",BH32,0)</f>
        <v>0</v>
      </c>
      <c r="AE32" s="32">
        <f>IF(AQ32="7",BI32,0)</f>
        <v>0</v>
      </c>
      <c r="AF32" s="32">
        <f>IF(AQ32="2",BH32,0)</f>
        <v>0</v>
      </c>
      <c r="AG32" s="32">
        <f>IF(AQ32="2",BI32,0)</f>
        <v>0</v>
      </c>
      <c r="AH32" s="32">
        <f>IF(AQ32="0",BJ32,0)</f>
        <v>0</v>
      </c>
      <c r="AI32" s="28"/>
      <c r="AJ32" s="15">
        <f>IF(AN32=0,K32,0)</f>
        <v>0</v>
      </c>
      <c r="AK32" s="15">
        <f>IF(AN32=15,K32,0)</f>
        <v>0</v>
      </c>
      <c r="AL32" s="15">
        <f>IF(AN32=21,K32,0)</f>
        <v>0</v>
      </c>
      <c r="AN32" s="32">
        <v>21</v>
      </c>
      <c r="AO32" s="32">
        <f>H32*0</f>
        <v>0</v>
      </c>
      <c r="AP32" s="32">
        <f>H32*(1-0)</f>
        <v>0</v>
      </c>
      <c r="AQ32" s="27" t="s">
        <v>7</v>
      </c>
      <c r="AV32" s="32">
        <f>AW32+AX32</f>
        <v>0</v>
      </c>
      <c r="AW32" s="32">
        <f>G32*AO32</f>
        <v>0</v>
      </c>
      <c r="AX32" s="32">
        <f>G32*AP32</f>
        <v>0</v>
      </c>
      <c r="AY32" s="33" t="s">
        <v>854</v>
      </c>
      <c r="AZ32" s="33" t="s">
        <v>851</v>
      </c>
      <c r="BA32" s="28" t="s">
        <v>891</v>
      </c>
      <c r="BC32" s="32">
        <f>AW32+AX32</f>
        <v>0</v>
      </c>
      <c r="BD32" s="32">
        <f>H32/(100-BE32)*100</f>
        <v>0</v>
      </c>
      <c r="BE32" s="32">
        <v>0</v>
      </c>
      <c r="BF32" s="32">
        <f>35</f>
        <v>35</v>
      </c>
      <c r="BH32" s="15">
        <f>G32*AO32</f>
        <v>0</v>
      </c>
      <c r="BI32" s="15">
        <f>G32*AP32</f>
        <v>0</v>
      </c>
      <c r="BJ32" s="15">
        <f>G32*H32</f>
        <v>0</v>
      </c>
    </row>
    <row r="33" spans="1:62" x14ac:dyDescent="0.2">
      <c r="C33" s="57" t="s">
        <v>353</v>
      </c>
      <c r="D33" s="58"/>
      <c r="E33" s="58"/>
      <c r="G33" s="16">
        <v>9.702</v>
      </c>
    </row>
    <row r="34" spans="1:62" x14ac:dyDescent="0.2">
      <c r="A34" s="5"/>
      <c r="B34" s="13" t="s">
        <v>8</v>
      </c>
      <c r="C34" s="65" t="s">
        <v>354</v>
      </c>
      <c r="D34" s="66"/>
      <c r="E34" s="66"/>
      <c r="F34" s="5" t="s">
        <v>6</v>
      </c>
      <c r="G34" s="5" t="s">
        <v>6</v>
      </c>
      <c r="H34" s="5" t="s">
        <v>6</v>
      </c>
      <c r="I34" s="35">
        <f>SUM(I35:I35)</f>
        <v>0</v>
      </c>
      <c r="J34" s="35">
        <f>SUM(J35:J35)</f>
        <v>0</v>
      </c>
      <c r="K34" s="35">
        <f>SUM(K35:K35)</f>
        <v>0</v>
      </c>
      <c r="L34" s="28"/>
      <c r="AI34" s="28"/>
      <c r="AS34" s="35">
        <f>SUM(AJ35:AJ35)</f>
        <v>0</v>
      </c>
      <c r="AT34" s="35">
        <f>SUM(AK35:AK35)</f>
        <v>0</v>
      </c>
      <c r="AU34" s="35">
        <f>SUM(AL35:AL35)</f>
        <v>0</v>
      </c>
    </row>
    <row r="35" spans="1:62" x14ac:dyDescent="0.2">
      <c r="A35" s="4" t="s">
        <v>14</v>
      </c>
      <c r="B35" s="4" t="s">
        <v>169</v>
      </c>
      <c r="C35" s="59" t="s">
        <v>355</v>
      </c>
      <c r="D35" s="60"/>
      <c r="E35" s="60"/>
      <c r="F35" s="4" t="s">
        <v>819</v>
      </c>
      <c r="G35" s="15">
        <v>1</v>
      </c>
      <c r="H35" s="15">
        <v>0</v>
      </c>
      <c r="I35" s="15">
        <f>G35*AO35</f>
        <v>0</v>
      </c>
      <c r="J35" s="15">
        <f>G35*AP35</f>
        <v>0</v>
      </c>
      <c r="K35" s="15">
        <f>G35*H35</f>
        <v>0</v>
      </c>
      <c r="L35" s="27"/>
      <c r="Z35" s="32">
        <f>IF(AQ35="5",BJ35,0)</f>
        <v>0</v>
      </c>
      <c r="AB35" s="32">
        <f>IF(AQ35="1",BH35,0)</f>
        <v>0</v>
      </c>
      <c r="AC35" s="32">
        <f>IF(AQ35="1",BI35,0)</f>
        <v>0</v>
      </c>
      <c r="AD35" s="32">
        <f>IF(AQ35="7",BH35,0)</f>
        <v>0</v>
      </c>
      <c r="AE35" s="32">
        <f>IF(AQ35="7",BI35,0)</f>
        <v>0</v>
      </c>
      <c r="AF35" s="32">
        <f>IF(AQ35="2",BH35,0)</f>
        <v>0</v>
      </c>
      <c r="AG35" s="32">
        <f>IF(AQ35="2",BI35,0)</f>
        <v>0</v>
      </c>
      <c r="AH35" s="32">
        <f>IF(AQ35="0",BJ35,0)</f>
        <v>0</v>
      </c>
      <c r="AI35" s="28"/>
      <c r="AJ35" s="15">
        <f>IF(AN35=0,K35,0)</f>
        <v>0</v>
      </c>
      <c r="AK35" s="15">
        <f>IF(AN35=15,K35,0)</f>
        <v>0</v>
      </c>
      <c r="AL35" s="15">
        <f>IF(AN35=21,K35,0)</f>
        <v>0</v>
      </c>
      <c r="AN35" s="32">
        <v>21</v>
      </c>
      <c r="AO35" s="32">
        <f>H35*0</f>
        <v>0</v>
      </c>
      <c r="AP35" s="32">
        <f>H35*(1-0)</f>
        <v>0</v>
      </c>
      <c r="AQ35" s="27" t="s">
        <v>7</v>
      </c>
      <c r="AV35" s="32">
        <f>AW35+AX35</f>
        <v>0</v>
      </c>
      <c r="AW35" s="32">
        <f>G35*AO35</f>
        <v>0</v>
      </c>
      <c r="AX35" s="32">
        <f>G35*AP35</f>
        <v>0</v>
      </c>
      <c r="AY35" s="33" t="s">
        <v>855</v>
      </c>
      <c r="AZ35" s="33" t="s">
        <v>855</v>
      </c>
      <c r="BA35" s="28" t="s">
        <v>891</v>
      </c>
      <c r="BC35" s="32">
        <f>AW35+AX35</f>
        <v>0</v>
      </c>
      <c r="BD35" s="32">
        <f>H35/(100-BE35)*100</f>
        <v>0</v>
      </c>
      <c r="BE35" s="32">
        <v>0</v>
      </c>
      <c r="BF35" s="32">
        <f>38</f>
        <v>38</v>
      </c>
      <c r="BH35" s="15">
        <f>G35*AO35</f>
        <v>0</v>
      </c>
      <c r="BI35" s="15">
        <f>G35*AP35</f>
        <v>0</v>
      </c>
      <c r="BJ35" s="15">
        <f>G35*H35</f>
        <v>0</v>
      </c>
    </row>
    <row r="36" spans="1:62" x14ac:dyDescent="0.2">
      <c r="C36" s="57" t="s">
        <v>356</v>
      </c>
      <c r="D36" s="58"/>
      <c r="E36" s="58"/>
      <c r="G36" s="16">
        <v>1</v>
      </c>
    </row>
    <row r="37" spans="1:62" x14ac:dyDescent="0.2">
      <c r="A37" s="5"/>
      <c r="B37" s="13" t="s">
        <v>26</v>
      </c>
      <c r="C37" s="65" t="s">
        <v>951</v>
      </c>
      <c r="D37" s="66"/>
      <c r="E37" s="66"/>
      <c r="F37" s="5" t="s">
        <v>6</v>
      </c>
      <c r="G37" s="5" t="s">
        <v>6</v>
      </c>
      <c r="H37" s="5" t="s">
        <v>6</v>
      </c>
      <c r="I37" s="35">
        <f>SUM(I39:I39)</f>
        <v>0</v>
      </c>
      <c r="J37" s="35">
        <f>SUM(J39:J39)</f>
        <v>0</v>
      </c>
      <c r="K37" s="35">
        <f>SUM(K38:K39)</f>
        <v>0</v>
      </c>
      <c r="L37" s="28"/>
      <c r="AI37" s="28"/>
      <c r="AS37" s="35">
        <f>SUM(AJ39:AJ39)</f>
        <v>0</v>
      </c>
      <c r="AT37" s="35">
        <f>SUM(AK39:AK39)</f>
        <v>0</v>
      </c>
      <c r="AU37" s="35">
        <f>SUM(AL39:AL39)</f>
        <v>0</v>
      </c>
    </row>
    <row r="38" spans="1:62" x14ac:dyDescent="0.2">
      <c r="A38" s="54" t="s">
        <v>15</v>
      </c>
      <c r="B38" s="54" t="s">
        <v>169</v>
      </c>
      <c r="C38" s="59" t="s">
        <v>950</v>
      </c>
      <c r="D38" s="60"/>
      <c r="E38" s="60"/>
      <c r="F38" s="54" t="s">
        <v>819</v>
      </c>
      <c r="G38" s="15">
        <v>1</v>
      </c>
      <c r="H38" s="15">
        <v>0</v>
      </c>
      <c r="I38" s="15">
        <f>G38*AO38</f>
        <v>0</v>
      </c>
      <c r="J38" s="15">
        <f>G38*AP38</f>
        <v>0</v>
      </c>
      <c r="K38" s="15">
        <f>G38*H38</f>
        <v>0</v>
      </c>
      <c r="L38" s="27"/>
      <c r="Z38" s="32">
        <f>IF(AQ38="5",BJ38,0)</f>
        <v>0</v>
      </c>
      <c r="AB38" s="32">
        <f>IF(AQ38="1",BH38,0)</f>
        <v>0</v>
      </c>
      <c r="AC38" s="32">
        <f>IF(AQ38="1",BI38,0)</f>
        <v>0</v>
      </c>
      <c r="AD38" s="32">
        <f>IF(AQ38="7",BH38,0)</f>
        <v>0</v>
      </c>
      <c r="AE38" s="32">
        <f>IF(AQ38="7",BI38,0)</f>
        <v>0</v>
      </c>
      <c r="AF38" s="32">
        <f>IF(AQ38="2",BH38,0)</f>
        <v>0</v>
      </c>
      <c r="AG38" s="32">
        <f>IF(AQ38="2",BI38,0)</f>
        <v>0</v>
      </c>
      <c r="AH38" s="32">
        <f>IF(AQ38="0",BJ38,0)</f>
        <v>0</v>
      </c>
      <c r="AI38" s="28"/>
      <c r="AJ38" s="15">
        <f>IF(AN38=0,K38,0)</f>
        <v>0</v>
      </c>
      <c r="AK38" s="15">
        <f>IF(AN38=15,K38,0)</f>
        <v>0</v>
      </c>
      <c r="AL38" s="15">
        <f>IF(AN38=21,K38,0)</f>
        <v>0</v>
      </c>
      <c r="AN38" s="32">
        <v>21</v>
      </c>
      <c r="AO38" s="32">
        <f>H38*0</f>
        <v>0</v>
      </c>
      <c r="AP38" s="32">
        <f>H38*(1-0)</f>
        <v>0</v>
      </c>
      <c r="AQ38" s="27" t="s">
        <v>7</v>
      </c>
      <c r="AV38" s="32">
        <f>AW38+AX38</f>
        <v>0</v>
      </c>
      <c r="AW38" s="32">
        <f>G38*AO38</f>
        <v>0</v>
      </c>
      <c r="AX38" s="32">
        <f>G38*AP38</f>
        <v>0</v>
      </c>
      <c r="AY38" s="33" t="s">
        <v>855</v>
      </c>
      <c r="AZ38" s="33" t="s">
        <v>855</v>
      </c>
      <c r="BA38" s="28" t="s">
        <v>891</v>
      </c>
      <c r="BC38" s="32">
        <f>AW38+AX38</f>
        <v>0</v>
      </c>
      <c r="BD38" s="32">
        <f>H38/(100-BE38)*100</f>
        <v>0</v>
      </c>
      <c r="BE38" s="32">
        <v>0</v>
      </c>
      <c r="BF38" s="32">
        <f>38</f>
        <v>38</v>
      </c>
      <c r="BH38" s="15">
        <f>G38*AO38</f>
        <v>0</v>
      </c>
      <c r="BI38" s="15">
        <f>G38*AP38</f>
        <v>0</v>
      </c>
      <c r="BJ38" s="15">
        <f>G38*H38</f>
        <v>0</v>
      </c>
    </row>
    <row r="39" spans="1:62" x14ac:dyDescent="0.2">
      <c r="A39" s="4"/>
      <c r="B39" s="4"/>
      <c r="C39" s="59"/>
      <c r="D39" s="59"/>
      <c r="E39" s="59"/>
      <c r="F39" s="4"/>
      <c r="G39" s="15"/>
      <c r="H39" s="15"/>
      <c r="I39" s="15"/>
      <c r="J39" s="15"/>
      <c r="K39" s="15"/>
      <c r="L39" s="27"/>
      <c r="Z39" s="32">
        <f>IF(AQ39="5",BJ39,0)</f>
        <v>0</v>
      </c>
      <c r="AB39" s="32">
        <f>IF(AQ39="1",BH39,0)</f>
        <v>0</v>
      </c>
      <c r="AC39" s="32">
        <f>IF(AQ39="1",BI39,0)</f>
        <v>0</v>
      </c>
      <c r="AD39" s="32">
        <f>IF(AQ39="7",BH39,0)</f>
        <v>0</v>
      </c>
      <c r="AE39" s="32">
        <f>IF(AQ39="7",BI39,0)</f>
        <v>0</v>
      </c>
      <c r="AF39" s="32">
        <f>IF(AQ39="2",BH39,0)</f>
        <v>0</v>
      </c>
      <c r="AG39" s="32">
        <f>IF(AQ39="2",BI39,0)</f>
        <v>0</v>
      </c>
      <c r="AH39" s="32">
        <f>IF(AQ39="0",BJ39,0)</f>
        <v>0</v>
      </c>
      <c r="AI39" s="28"/>
      <c r="AJ39" s="15">
        <f>IF(AN39=0,K39,0)</f>
        <v>0</v>
      </c>
      <c r="AK39" s="15">
        <f>IF(AN39=15,K39,0)</f>
        <v>0</v>
      </c>
      <c r="AL39" s="15">
        <f>IF(AN39=21,K39,0)</f>
        <v>0</v>
      </c>
      <c r="AN39" s="32">
        <v>21</v>
      </c>
      <c r="AO39" s="32">
        <f>H39*0.8</f>
        <v>0</v>
      </c>
      <c r="AP39" s="32">
        <f>H39*(1-0.8)</f>
        <v>0</v>
      </c>
      <c r="AQ39" s="27" t="s">
        <v>7</v>
      </c>
      <c r="AV39" s="32">
        <f>AW39+AX39</f>
        <v>0</v>
      </c>
      <c r="AW39" s="32">
        <f>G39*AO39</f>
        <v>0</v>
      </c>
      <c r="AX39" s="32">
        <f>G39*AP39</f>
        <v>0</v>
      </c>
      <c r="AY39" s="33" t="s">
        <v>856</v>
      </c>
      <c r="AZ39" s="33" t="s">
        <v>855</v>
      </c>
      <c r="BA39" s="28" t="s">
        <v>891</v>
      </c>
      <c r="BC39" s="32">
        <f>AW39+AX39</f>
        <v>0</v>
      </c>
      <c r="BD39" s="32">
        <f>H39/(100-BE39)*100</f>
        <v>0</v>
      </c>
      <c r="BE39" s="32">
        <v>0</v>
      </c>
      <c r="BF39" s="32">
        <f>41</f>
        <v>41</v>
      </c>
      <c r="BH39" s="15">
        <f>G39*AO39</f>
        <v>0</v>
      </c>
      <c r="BI39" s="15">
        <f>G39*AP39</f>
        <v>0</v>
      </c>
      <c r="BJ39" s="15">
        <f>G39*H39</f>
        <v>0</v>
      </c>
    </row>
    <row r="40" spans="1:62" x14ac:dyDescent="0.2">
      <c r="A40" s="5"/>
      <c r="B40" s="13" t="s">
        <v>32</v>
      </c>
      <c r="C40" s="65" t="s">
        <v>357</v>
      </c>
      <c r="D40" s="66"/>
      <c r="E40" s="66"/>
      <c r="F40" s="5" t="s">
        <v>6</v>
      </c>
      <c r="G40" s="5" t="s">
        <v>6</v>
      </c>
      <c r="H40" s="5" t="s">
        <v>6</v>
      </c>
      <c r="I40" s="35">
        <f>SUM(I41:I41)</f>
        <v>0</v>
      </c>
      <c r="J40" s="35">
        <f>SUM(J41:J41)</f>
        <v>0</v>
      </c>
      <c r="K40" s="35">
        <f>SUM(K41:K41)</f>
        <v>0</v>
      </c>
      <c r="L40" s="28"/>
      <c r="AI40" s="28"/>
      <c r="AS40" s="35">
        <f>SUM(AJ41:AJ41)</f>
        <v>0</v>
      </c>
      <c r="AT40" s="35">
        <f>SUM(AK41:AK41)</f>
        <v>0</v>
      </c>
      <c r="AU40" s="35">
        <f>SUM(AL41:AL41)</f>
        <v>0</v>
      </c>
    </row>
    <row r="41" spans="1:62" x14ac:dyDescent="0.2">
      <c r="A41" s="4" t="s">
        <v>939</v>
      </c>
      <c r="B41" s="4" t="s">
        <v>170</v>
      </c>
      <c r="C41" s="59" t="s">
        <v>358</v>
      </c>
      <c r="D41" s="60"/>
      <c r="E41" s="60"/>
      <c r="F41" s="4" t="s">
        <v>818</v>
      </c>
      <c r="G41" s="15">
        <v>2.4908999999999999</v>
      </c>
      <c r="H41" s="15">
        <v>0</v>
      </c>
      <c r="I41" s="15">
        <f>G41*AO41</f>
        <v>0</v>
      </c>
      <c r="J41" s="15">
        <f>G41*AP41</f>
        <v>0</v>
      </c>
      <c r="K41" s="15">
        <f>G41*H41</f>
        <v>0</v>
      </c>
      <c r="L41" s="27" t="s">
        <v>839</v>
      </c>
      <c r="Z41" s="32">
        <f>IF(AQ41="5",BJ41,0)</f>
        <v>0</v>
      </c>
      <c r="AB41" s="32">
        <f>IF(AQ41="1",BH41,0)</f>
        <v>0</v>
      </c>
      <c r="AC41" s="32">
        <f>IF(AQ41="1",BI41,0)</f>
        <v>0</v>
      </c>
      <c r="AD41" s="32">
        <f>IF(AQ41="7",BH41,0)</f>
        <v>0</v>
      </c>
      <c r="AE41" s="32">
        <f>IF(AQ41="7",BI41,0)</f>
        <v>0</v>
      </c>
      <c r="AF41" s="32">
        <f>IF(AQ41="2",BH41,0)</f>
        <v>0</v>
      </c>
      <c r="AG41" s="32">
        <f>IF(AQ41="2",BI41,0)</f>
        <v>0</v>
      </c>
      <c r="AH41" s="32">
        <f>IF(AQ41="0",BJ41,0)</f>
        <v>0</v>
      </c>
      <c r="AI41" s="28"/>
      <c r="AJ41" s="15">
        <f>IF(AN41=0,K41,0)</f>
        <v>0</v>
      </c>
      <c r="AK41" s="15">
        <f>IF(AN41=15,K41,0)</f>
        <v>0</v>
      </c>
      <c r="AL41" s="15">
        <f>IF(AN41=21,K41,0)</f>
        <v>0</v>
      </c>
      <c r="AN41" s="32">
        <v>21</v>
      </c>
      <c r="AO41" s="32">
        <f>H41*0.667171077477771</f>
        <v>0</v>
      </c>
      <c r="AP41" s="32">
        <f>H41*(1-0.667171077477771)</f>
        <v>0</v>
      </c>
      <c r="AQ41" s="27" t="s">
        <v>7</v>
      </c>
      <c r="AV41" s="32">
        <f>AW41+AX41</f>
        <v>0</v>
      </c>
      <c r="AW41" s="32">
        <f>G41*AO41</f>
        <v>0</v>
      </c>
      <c r="AX41" s="32">
        <f>G41*AP41</f>
        <v>0</v>
      </c>
      <c r="AY41" s="33" t="s">
        <v>857</v>
      </c>
      <c r="AZ41" s="33" t="s">
        <v>855</v>
      </c>
      <c r="BA41" s="28" t="s">
        <v>891</v>
      </c>
      <c r="BC41" s="32">
        <f>AW41+AX41</f>
        <v>0</v>
      </c>
      <c r="BD41" s="32">
        <f>H41/(100-BE41)*100</f>
        <v>0</v>
      </c>
      <c r="BE41" s="32">
        <v>0</v>
      </c>
      <c r="BF41" s="32">
        <f>44</f>
        <v>44</v>
      </c>
      <c r="BH41" s="15">
        <f>G41*AO41</f>
        <v>0</v>
      </c>
      <c r="BI41" s="15">
        <f>G41*AP41</f>
        <v>0</v>
      </c>
      <c r="BJ41" s="15">
        <f>G41*H41</f>
        <v>0</v>
      </c>
    </row>
    <row r="42" spans="1:62" x14ac:dyDescent="0.2">
      <c r="C42" s="57" t="s">
        <v>359</v>
      </c>
      <c r="D42" s="58"/>
      <c r="E42" s="58"/>
      <c r="G42" s="16">
        <v>2.4908999999999999</v>
      </c>
    </row>
    <row r="43" spans="1:62" x14ac:dyDescent="0.2">
      <c r="A43" s="5"/>
      <c r="B43" s="13" t="s">
        <v>39</v>
      </c>
      <c r="C43" s="65" t="s">
        <v>360</v>
      </c>
      <c r="D43" s="66"/>
      <c r="E43" s="66"/>
      <c r="F43" s="5" t="s">
        <v>6</v>
      </c>
      <c r="G43" s="5" t="s">
        <v>6</v>
      </c>
      <c r="H43" s="5" t="s">
        <v>6</v>
      </c>
      <c r="I43" s="35">
        <f>SUM(I44:I51)</f>
        <v>0</v>
      </c>
      <c r="J43" s="35">
        <f>SUM(J44:J51)</f>
        <v>0</v>
      </c>
      <c r="K43" s="35">
        <f>SUM(K44:K51)</f>
        <v>0</v>
      </c>
      <c r="L43" s="28"/>
      <c r="AI43" s="28"/>
      <c r="AS43" s="35">
        <f>SUM(AJ44:AJ51)</f>
        <v>0</v>
      </c>
      <c r="AT43" s="35">
        <f>SUM(AK44:AK51)</f>
        <v>0</v>
      </c>
      <c r="AU43" s="35">
        <f>SUM(AL44:AL51)</f>
        <v>0</v>
      </c>
    </row>
    <row r="44" spans="1:62" x14ac:dyDescent="0.2">
      <c r="A44" s="4" t="s">
        <v>16</v>
      </c>
      <c r="B44" s="4" t="s">
        <v>171</v>
      </c>
      <c r="C44" s="59" t="s">
        <v>361</v>
      </c>
      <c r="D44" s="60"/>
      <c r="E44" s="60"/>
      <c r="F44" s="4" t="s">
        <v>817</v>
      </c>
      <c r="G44" s="15">
        <v>27.614999999999998</v>
      </c>
      <c r="H44" s="15">
        <v>0</v>
      </c>
      <c r="I44" s="15">
        <f>G44*AO44</f>
        <v>0</v>
      </c>
      <c r="J44" s="15">
        <f>G44*AP44</f>
        <v>0</v>
      </c>
      <c r="K44" s="15">
        <f>G44*H44</f>
        <v>0</v>
      </c>
      <c r="L44" s="27" t="s">
        <v>839</v>
      </c>
      <c r="Z44" s="32">
        <f>IF(AQ44="5",BJ44,0)</f>
        <v>0</v>
      </c>
      <c r="AB44" s="32">
        <f>IF(AQ44="1",BH44,0)</f>
        <v>0</v>
      </c>
      <c r="AC44" s="32">
        <f>IF(AQ44="1",BI44,0)</f>
        <v>0</v>
      </c>
      <c r="AD44" s="32">
        <f>IF(AQ44="7",BH44,0)</f>
        <v>0</v>
      </c>
      <c r="AE44" s="32">
        <f>IF(AQ44="7",BI44,0)</f>
        <v>0</v>
      </c>
      <c r="AF44" s="32">
        <f>IF(AQ44="2",BH44,0)</f>
        <v>0</v>
      </c>
      <c r="AG44" s="32">
        <f>IF(AQ44="2",BI44,0)</f>
        <v>0</v>
      </c>
      <c r="AH44" s="32">
        <f>IF(AQ44="0",BJ44,0)</f>
        <v>0</v>
      </c>
      <c r="AI44" s="28"/>
      <c r="AJ44" s="15">
        <f>IF(AN44=0,K44,0)</f>
        <v>0</v>
      </c>
      <c r="AK44" s="15">
        <f>IF(AN44=15,K44,0)</f>
        <v>0</v>
      </c>
      <c r="AL44" s="15">
        <f>IF(AN44=21,K44,0)</f>
        <v>0</v>
      </c>
      <c r="AN44" s="32">
        <v>21</v>
      </c>
      <c r="AO44" s="32">
        <f>H44*0.315389345952797</f>
        <v>0</v>
      </c>
      <c r="AP44" s="32">
        <f>H44*(1-0.315389345952797)</f>
        <v>0</v>
      </c>
      <c r="AQ44" s="27" t="s">
        <v>7</v>
      </c>
      <c r="AV44" s="32">
        <f>AW44+AX44</f>
        <v>0</v>
      </c>
      <c r="AW44" s="32">
        <f>G44*AO44</f>
        <v>0</v>
      </c>
      <c r="AX44" s="32">
        <f>G44*AP44</f>
        <v>0</v>
      </c>
      <c r="AY44" s="33" t="s">
        <v>858</v>
      </c>
      <c r="AZ44" s="33" t="s">
        <v>883</v>
      </c>
      <c r="BA44" s="28" t="s">
        <v>891</v>
      </c>
      <c r="BC44" s="32">
        <f>AW44+AX44</f>
        <v>0</v>
      </c>
      <c r="BD44" s="32">
        <f>H44/(100-BE44)*100</f>
        <v>0</v>
      </c>
      <c r="BE44" s="32">
        <v>0</v>
      </c>
      <c r="BF44" s="32">
        <f>47</f>
        <v>47</v>
      </c>
      <c r="BH44" s="15">
        <f>G44*AO44</f>
        <v>0</v>
      </c>
      <c r="BI44" s="15">
        <f>G44*AP44</f>
        <v>0</v>
      </c>
      <c r="BJ44" s="15">
        <f>G44*H44</f>
        <v>0</v>
      </c>
    </row>
    <row r="45" spans="1:62" x14ac:dyDescent="0.2">
      <c r="C45" s="57" t="s">
        <v>362</v>
      </c>
      <c r="D45" s="58"/>
      <c r="E45" s="58"/>
      <c r="G45" s="16">
        <v>5.79</v>
      </c>
    </row>
    <row r="46" spans="1:62" x14ac:dyDescent="0.2">
      <c r="C46" s="57" t="s">
        <v>363</v>
      </c>
      <c r="D46" s="58"/>
      <c r="E46" s="58"/>
      <c r="G46" s="16">
        <v>19.25</v>
      </c>
    </row>
    <row r="47" spans="1:62" x14ac:dyDescent="0.2">
      <c r="C47" s="57" t="s">
        <v>364</v>
      </c>
      <c r="D47" s="58"/>
      <c r="E47" s="58"/>
      <c r="G47" s="16">
        <v>2.5750000000000002</v>
      </c>
    </row>
    <row r="48" spans="1:62" x14ac:dyDescent="0.2">
      <c r="A48" s="4" t="s">
        <v>17</v>
      </c>
      <c r="B48" s="4" t="s">
        <v>161</v>
      </c>
      <c r="C48" s="59" t="s">
        <v>940</v>
      </c>
      <c r="D48" s="60"/>
      <c r="E48" s="60"/>
      <c r="F48" s="4" t="s">
        <v>816</v>
      </c>
      <c r="G48" s="15">
        <v>20.762499999999999</v>
      </c>
      <c r="H48" s="15">
        <v>0</v>
      </c>
      <c r="I48" s="15">
        <f>G48*AO48</f>
        <v>0</v>
      </c>
      <c r="J48" s="15">
        <f>G48*AP48</f>
        <v>0</v>
      </c>
      <c r="K48" s="15">
        <f>G48*H48</f>
        <v>0</v>
      </c>
      <c r="L48" s="27" t="s">
        <v>839</v>
      </c>
      <c r="Z48" s="32">
        <f>IF(AQ48="5",BJ48,0)</f>
        <v>0</v>
      </c>
      <c r="AB48" s="32">
        <f>IF(AQ48="1",BH48,0)</f>
        <v>0</v>
      </c>
      <c r="AC48" s="32">
        <f>IF(AQ48="1",BI48,0)</f>
        <v>0</v>
      </c>
      <c r="AD48" s="32">
        <f>IF(AQ48="7",BH48,0)</f>
        <v>0</v>
      </c>
      <c r="AE48" s="32">
        <f>IF(AQ48="7",BI48,0)</f>
        <v>0</v>
      </c>
      <c r="AF48" s="32">
        <f>IF(AQ48="2",BH48,0)</f>
        <v>0</v>
      </c>
      <c r="AG48" s="32">
        <f>IF(AQ48="2",BI48,0)</f>
        <v>0</v>
      </c>
      <c r="AH48" s="32">
        <f>IF(AQ48="0",BJ48,0)</f>
        <v>0</v>
      </c>
      <c r="AI48" s="28"/>
      <c r="AJ48" s="15">
        <f>IF(AN48=0,K48,0)</f>
        <v>0</v>
      </c>
      <c r="AK48" s="15">
        <f>IF(AN48=15,K48,0)</f>
        <v>0</v>
      </c>
      <c r="AL48" s="15">
        <f>IF(AN48=21,K48,0)</f>
        <v>0</v>
      </c>
      <c r="AN48" s="32">
        <v>21</v>
      </c>
      <c r="AO48" s="32">
        <f>H48*0.338008624870586</f>
        <v>0</v>
      </c>
      <c r="AP48" s="32">
        <f>H48*(1-0.338008624870586)</f>
        <v>0</v>
      </c>
      <c r="AQ48" s="27" t="s">
        <v>7</v>
      </c>
      <c r="AV48" s="32">
        <f>AW48+AX48</f>
        <v>0</v>
      </c>
      <c r="AW48" s="32">
        <f>G48*AO48</f>
        <v>0</v>
      </c>
      <c r="AX48" s="32">
        <f>G48*AP48</f>
        <v>0</v>
      </c>
      <c r="AY48" s="33" t="s">
        <v>851</v>
      </c>
      <c r="AZ48" s="33" t="s">
        <v>851</v>
      </c>
      <c r="BA48" s="28" t="s">
        <v>891</v>
      </c>
      <c r="BC48" s="32">
        <f>AW48+AX48</f>
        <v>0</v>
      </c>
      <c r="BD48" s="32">
        <f>H48/(100-BE48)*100</f>
        <v>0</v>
      </c>
      <c r="BE48" s="32">
        <v>0</v>
      </c>
      <c r="BF48" s="32">
        <f>13</f>
        <v>13</v>
      </c>
      <c r="BH48" s="15">
        <f>G48*AO48</f>
        <v>0</v>
      </c>
      <c r="BI48" s="15">
        <f>G48*AP48</f>
        <v>0</v>
      </c>
      <c r="BJ48" s="15">
        <f>G48*H48</f>
        <v>0</v>
      </c>
    </row>
    <row r="49" spans="1:62" x14ac:dyDescent="0.2">
      <c r="C49" s="57" t="s">
        <v>332</v>
      </c>
      <c r="D49" s="58"/>
      <c r="E49" s="58"/>
      <c r="G49" s="16">
        <v>15</v>
      </c>
    </row>
    <row r="50" spans="1:62" x14ac:dyDescent="0.2">
      <c r="C50" s="57" t="s">
        <v>333</v>
      </c>
      <c r="D50" s="58"/>
      <c r="E50" s="58"/>
      <c r="G50" s="16">
        <v>5.7625000000000002</v>
      </c>
    </row>
    <row r="51" spans="1:62" x14ac:dyDescent="0.2">
      <c r="A51" s="4" t="s">
        <v>18</v>
      </c>
      <c r="B51" s="4" t="s">
        <v>172</v>
      </c>
      <c r="C51" s="59" t="s">
        <v>941</v>
      </c>
      <c r="D51" s="60"/>
      <c r="E51" s="60"/>
      <c r="F51" s="4" t="s">
        <v>816</v>
      </c>
      <c r="G51" s="15">
        <v>6.6</v>
      </c>
      <c r="H51" s="15">
        <v>0</v>
      </c>
      <c r="I51" s="15">
        <f>G51*AO51</f>
        <v>0</v>
      </c>
      <c r="J51" s="15">
        <f>G51*AP51</f>
        <v>0</v>
      </c>
      <c r="K51" s="15">
        <f>G51*H51</f>
        <v>0</v>
      </c>
      <c r="L51" s="27" t="s">
        <v>839</v>
      </c>
      <c r="Z51" s="32">
        <f>IF(AQ51="5",BJ51,0)</f>
        <v>0</v>
      </c>
      <c r="AB51" s="32">
        <f>IF(AQ51="1",BH51,0)</f>
        <v>0</v>
      </c>
      <c r="AC51" s="32">
        <f>IF(AQ51="1",BI51,0)</f>
        <v>0</v>
      </c>
      <c r="AD51" s="32">
        <f>IF(AQ51="7",BH51,0)</f>
        <v>0</v>
      </c>
      <c r="AE51" s="32">
        <f>IF(AQ51="7",BI51,0)</f>
        <v>0</v>
      </c>
      <c r="AF51" s="32">
        <f>IF(AQ51="2",BH51,0)</f>
        <v>0</v>
      </c>
      <c r="AG51" s="32">
        <f>IF(AQ51="2",BI51,0)</f>
        <v>0</v>
      </c>
      <c r="AH51" s="32">
        <f>IF(AQ51="0",BJ51,0)</f>
        <v>0</v>
      </c>
      <c r="AI51" s="28"/>
      <c r="AJ51" s="15">
        <f>IF(AN51=0,K51,0)</f>
        <v>0</v>
      </c>
      <c r="AK51" s="15">
        <f>IF(AN51=15,K51,0)</f>
        <v>0</v>
      </c>
      <c r="AL51" s="15">
        <f>IF(AN51=21,K51,0)</f>
        <v>0</v>
      </c>
      <c r="AN51" s="32">
        <v>21</v>
      </c>
      <c r="AO51" s="32">
        <f>H51*0.371941687344913</f>
        <v>0</v>
      </c>
      <c r="AP51" s="32">
        <f>H51*(1-0.371941687344913)</f>
        <v>0</v>
      </c>
      <c r="AQ51" s="27" t="s">
        <v>7</v>
      </c>
      <c r="AV51" s="32">
        <f>AW51+AX51</f>
        <v>0</v>
      </c>
      <c r="AW51" s="32">
        <f>G51*AO51</f>
        <v>0</v>
      </c>
      <c r="AX51" s="32">
        <f>G51*AP51</f>
        <v>0</v>
      </c>
      <c r="AY51" s="33" t="s">
        <v>858</v>
      </c>
      <c r="AZ51" s="33" t="s">
        <v>883</v>
      </c>
      <c r="BA51" s="28" t="s">
        <v>891</v>
      </c>
      <c r="BC51" s="32">
        <f>AW51+AX51</f>
        <v>0</v>
      </c>
      <c r="BD51" s="32">
        <f>H51/(100-BE51)*100</f>
        <v>0</v>
      </c>
      <c r="BE51" s="32">
        <v>0</v>
      </c>
      <c r="BF51" s="32">
        <f>51</f>
        <v>51</v>
      </c>
      <c r="BH51" s="15">
        <f>G51*AO51</f>
        <v>0</v>
      </c>
      <c r="BI51" s="15">
        <f>G51*AP51</f>
        <v>0</v>
      </c>
      <c r="BJ51" s="15">
        <f>G51*H51</f>
        <v>0</v>
      </c>
    </row>
    <row r="52" spans="1:62" x14ac:dyDescent="0.2">
      <c r="C52" s="57" t="s">
        <v>365</v>
      </c>
      <c r="D52" s="58"/>
      <c r="E52" s="58"/>
      <c r="G52" s="16">
        <v>3.3</v>
      </c>
    </row>
    <row r="53" spans="1:62" x14ac:dyDescent="0.2">
      <c r="C53" s="57" t="s">
        <v>366</v>
      </c>
      <c r="D53" s="58"/>
      <c r="E53" s="58"/>
      <c r="G53" s="16">
        <v>3.3</v>
      </c>
    </row>
    <row r="54" spans="1:62" x14ac:dyDescent="0.2">
      <c r="A54" s="5"/>
      <c r="B54" s="13" t="s">
        <v>64</v>
      </c>
      <c r="C54" s="65" t="s">
        <v>367</v>
      </c>
      <c r="D54" s="66"/>
      <c r="E54" s="66"/>
      <c r="F54" s="5" t="s">
        <v>6</v>
      </c>
      <c r="G54" s="5" t="s">
        <v>6</v>
      </c>
      <c r="H54" s="5" t="s">
        <v>6</v>
      </c>
      <c r="I54" s="35">
        <f>SUM(I55:I55)</f>
        <v>0</v>
      </c>
      <c r="J54" s="35">
        <f>SUM(J55:J55)</f>
        <v>0</v>
      </c>
      <c r="K54" s="35">
        <f>SUM(K55:K55)</f>
        <v>0</v>
      </c>
      <c r="L54" s="28"/>
      <c r="AI54" s="28"/>
      <c r="AS54" s="35">
        <f>SUM(AJ55:AJ55)</f>
        <v>0</v>
      </c>
      <c r="AT54" s="35">
        <f>SUM(AK55:AK55)</f>
        <v>0</v>
      </c>
      <c r="AU54" s="35">
        <f>SUM(AL55:AL55)</f>
        <v>0</v>
      </c>
    </row>
    <row r="55" spans="1:62" x14ac:dyDescent="0.2">
      <c r="A55" s="4" t="s">
        <v>19</v>
      </c>
      <c r="B55" s="4" t="s">
        <v>173</v>
      </c>
      <c r="C55" s="59" t="s">
        <v>368</v>
      </c>
      <c r="D55" s="60"/>
      <c r="E55" s="60"/>
      <c r="F55" s="4" t="s">
        <v>817</v>
      </c>
      <c r="G55" s="15">
        <v>138.6</v>
      </c>
      <c r="H55" s="15">
        <v>0</v>
      </c>
      <c r="I55" s="15">
        <f>G55*AO55</f>
        <v>0</v>
      </c>
      <c r="J55" s="15">
        <f>G55*AP55</f>
        <v>0</v>
      </c>
      <c r="K55" s="15">
        <f>G55*H55</f>
        <v>0</v>
      </c>
      <c r="L55" s="27" t="s">
        <v>839</v>
      </c>
      <c r="Z55" s="32">
        <f>IF(AQ55="5",BJ55,0)</f>
        <v>0</v>
      </c>
      <c r="AB55" s="32">
        <f>IF(AQ55="1",BH55,0)</f>
        <v>0</v>
      </c>
      <c r="AC55" s="32">
        <f>IF(AQ55="1",BI55,0)</f>
        <v>0</v>
      </c>
      <c r="AD55" s="32">
        <f>IF(AQ55="7",BH55,0)</f>
        <v>0</v>
      </c>
      <c r="AE55" s="32">
        <f>IF(AQ55="7",BI55,0)</f>
        <v>0</v>
      </c>
      <c r="AF55" s="32">
        <f>IF(AQ55="2",BH55,0)</f>
        <v>0</v>
      </c>
      <c r="AG55" s="32">
        <f>IF(AQ55="2",BI55,0)</f>
        <v>0</v>
      </c>
      <c r="AH55" s="32">
        <f>IF(AQ55="0",BJ55,0)</f>
        <v>0</v>
      </c>
      <c r="AI55" s="28"/>
      <c r="AJ55" s="15">
        <f>IF(AN55=0,K55,0)</f>
        <v>0</v>
      </c>
      <c r="AK55" s="15">
        <f>IF(AN55=15,K55,0)</f>
        <v>0</v>
      </c>
      <c r="AL55" s="15">
        <f>IF(AN55=21,K55,0)</f>
        <v>0</v>
      </c>
      <c r="AN55" s="32">
        <v>21</v>
      </c>
      <c r="AO55" s="32">
        <f>H55*0.568727105788471</f>
        <v>0</v>
      </c>
      <c r="AP55" s="32">
        <f>H55*(1-0.568727105788471)</f>
        <v>0</v>
      </c>
      <c r="AQ55" s="27" t="s">
        <v>7</v>
      </c>
      <c r="AV55" s="32">
        <f>AW55+AX55</f>
        <v>0</v>
      </c>
      <c r="AW55" s="32">
        <f>G55*AO55</f>
        <v>0</v>
      </c>
      <c r="AX55" s="32">
        <f>G55*AP55</f>
        <v>0</v>
      </c>
      <c r="AY55" s="33" t="s">
        <v>859</v>
      </c>
      <c r="AZ55" s="33" t="s">
        <v>884</v>
      </c>
      <c r="BA55" s="28" t="s">
        <v>891</v>
      </c>
      <c r="BC55" s="32">
        <f>AW55+AX55</f>
        <v>0</v>
      </c>
      <c r="BD55" s="32">
        <f>H55/(100-BE55)*100</f>
        <v>0</v>
      </c>
      <c r="BE55" s="32">
        <v>0</v>
      </c>
      <c r="BF55" s="32">
        <f>55</f>
        <v>55</v>
      </c>
      <c r="BH55" s="15">
        <f>G55*AO55</f>
        <v>0</v>
      </c>
      <c r="BI55" s="15">
        <f>G55*AP55</f>
        <v>0</v>
      </c>
      <c r="BJ55" s="15">
        <f>G55*H55</f>
        <v>0</v>
      </c>
    </row>
    <row r="56" spans="1:62" x14ac:dyDescent="0.2">
      <c r="C56" s="57" t="s">
        <v>369</v>
      </c>
      <c r="D56" s="58"/>
      <c r="E56" s="58"/>
      <c r="G56" s="16">
        <v>53.4</v>
      </c>
    </row>
    <row r="57" spans="1:62" x14ac:dyDescent="0.2">
      <c r="C57" s="57" t="s">
        <v>370</v>
      </c>
      <c r="D57" s="58"/>
      <c r="E57" s="58"/>
      <c r="G57" s="16">
        <v>85.2</v>
      </c>
    </row>
    <row r="58" spans="1:62" x14ac:dyDescent="0.2">
      <c r="A58" s="5"/>
      <c r="B58" s="13" t="s">
        <v>65</v>
      </c>
      <c r="C58" s="65" t="s">
        <v>371</v>
      </c>
      <c r="D58" s="66"/>
      <c r="E58" s="66"/>
      <c r="F58" s="5" t="s">
        <v>6</v>
      </c>
      <c r="G58" s="5" t="s">
        <v>6</v>
      </c>
      <c r="H58" s="5" t="s">
        <v>6</v>
      </c>
      <c r="I58" s="35">
        <f>SUM(I59:I59)</f>
        <v>0</v>
      </c>
      <c r="J58" s="35">
        <f>SUM(J59:J59)</f>
        <v>0</v>
      </c>
      <c r="K58" s="35">
        <f>SUM(K59:K59)</f>
        <v>0</v>
      </c>
      <c r="L58" s="28"/>
      <c r="AI58" s="28"/>
      <c r="AS58" s="35">
        <f>SUM(AJ59:AJ59)</f>
        <v>0</v>
      </c>
      <c r="AT58" s="35">
        <f>SUM(AK59:AK59)</f>
        <v>0</v>
      </c>
      <c r="AU58" s="35">
        <f>SUM(AL59:AL59)</f>
        <v>0</v>
      </c>
    </row>
    <row r="59" spans="1:62" x14ac:dyDescent="0.2">
      <c r="A59" s="4" t="s">
        <v>20</v>
      </c>
      <c r="B59" s="4" t="s">
        <v>174</v>
      </c>
      <c r="C59" s="59" t="s">
        <v>372</v>
      </c>
      <c r="D59" s="60"/>
      <c r="E59" s="60"/>
      <c r="F59" s="4" t="s">
        <v>817</v>
      </c>
      <c r="G59" s="15">
        <v>57.076000000000001</v>
      </c>
      <c r="H59" s="15">
        <v>0</v>
      </c>
      <c r="I59" s="15">
        <f>G59*AO59</f>
        <v>0</v>
      </c>
      <c r="J59" s="15">
        <f>G59*AP59</f>
        <v>0</v>
      </c>
      <c r="K59" s="15">
        <f>G59*H59</f>
        <v>0</v>
      </c>
      <c r="L59" s="27" t="s">
        <v>840</v>
      </c>
      <c r="Z59" s="32">
        <f>IF(AQ59="5",BJ59,0)</f>
        <v>0</v>
      </c>
      <c r="AB59" s="32">
        <f>IF(AQ59="1",BH59,0)</f>
        <v>0</v>
      </c>
      <c r="AC59" s="32">
        <f>IF(AQ59="1",BI59,0)</f>
        <v>0</v>
      </c>
      <c r="AD59" s="32">
        <f>IF(AQ59="7",BH59,0)</f>
        <v>0</v>
      </c>
      <c r="AE59" s="32">
        <f>IF(AQ59="7",BI59,0)</f>
        <v>0</v>
      </c>
      <c r="AF59" s="32">
        <f>IF(AQ59="2",BH59,0)</f>
        <v>0</v>
      </c>
      <c r="AG59" s="32">
        <f>IF(AQ59="2",BI59,0)</f>
        <v>0</v>
      </c>
      <c r="AH59" s="32">
        <f>IF(AQ59="0",BJ59,0)</f>
        <v>0</v>
      </c>
      <c r="AI59" s="28"/>
      <c r="AJ59" s="15">
        <f>IF(AN59=0,K59,0)</f>
        <v>0</v>
      </c>
      <c r="AK59" s="15">
        <f>IF(AN59=15,K59,0)</f>
        <v>0</v>
      </c>
      <c r="AL59" s="15">
        <f>IF(AN59=21,K59,0)</f>
        <v>0</v>
      </c>
      <c r="AN59" s="32">
        <v>21</v>
      </c>
      <c r="AO59" s="32">
        <f>H59*0.35684676029604</f>
        <v>0</v>
      </c>
      <c r="AP59" s="32">
        <f>H59*(1-0.35684676029604)</f>
        <v>0</v>
      </c>
      <c r="AQ59" s="27" t="s">
        <v>7</v>
      </c>
      <c r="AV59" s="32">
        <f>AW59+AX59</f>
        <v>0</v>
      </c>
      <c r="AW59" s="32">
        <f>G59*AO59</f>
        <v>0</v>
      </c>
      <c r="AX59" s="32">
        <f>G59*AP59</f>
        <v>0</v>
      </c>
      <c r="AY59" s="33" t="s">
        <v>860</v>
      </c>
      <c r="AZ59" s="33" t="s">
        <v>885</v>
      </c>
      <c r="BA59" s="28" t="s">
        <v>891</v>
      </c>
      <c r="BC59" s="32">
        <f>AW59+AX59</f>
        <v>0</v>
      </c>
      <c r="BD59" s="32">
        <f>H59/(100-BE59)*100</f>
        <v>0</v>
      </c>
      <c r="BE59" s="32">
        <v>0</v>
      </c>
      <c r="BF59" s="32">
        <f>59</f>
        <v>59</v>
      </c>
      <c r="BH59" s="15">
        <f>G59*AO59</f>
        <v>0</v>
      </c>
      <c r="BI59" s="15">
        <f>G59*AP59</f>
        <v>0</v>
      </c>
      <c r="BJ59" s="15">
        <f>G59*H59</f>
        <v>0</v>
      </c>
    </row>
    <row r="60" spans="1:62" x14ac:dyDescent="0.2">
      <c r="C60" s="57" t="s">
        <v>373</v>
      </c>
      <c r="D60" s="58"/>
      <c r="E60" s="58"/>
      <c r="G60" s="16">
        <v>39.6</v>
      </c>
    </row>
    <row r="61" spans="1:62" x14ac:dyDescent="0.2">
      <c r="C61" s="57" t="s">
        <v>374</v>
      </c>
      <c r="D61" s="58"/>
      <c r="E61" s="58"/>
      <c r="G61" s="16">
        <v>12.288</v>
      </c>
    </row>
    <row r="62" spans="1:62" x14ac:dyDescent="0.2">
      <c r="C62" s="57" t="s">
        <v>375</v>
      </c>
      <c r="D62" s="58"/>
      <c r="E62" s="58"/>
      <c r="G62" s="16">
        <v>5.1879999999999997</v>
      </c>
    </row>
    <row r="63" spans="1:62" x14ac:dyDescent="0.2">
      <c r="C63" s="57" t="s">
        <v>376</v>
      </c>
      <c r="D63" s="58"/>
      <c r="E63" s="58"/>
      <c r="G63" s="16">
        <v>0</v>
      </c>
    </row>
    <row r="64" spans="1:62" x14ac:dyDescent="0.2">
      <c r="A64" s="5"/>
      <c r="B64" s="13" t="s">
        <v>66</v>
      </c>
      <c r="C64" s="65" t="s">
        <v>377</v>
      </c>
      <c r="D64" s="66"/>
      <c r="E64" s="66"/>
      <c r="F64" s="5" t="s">
        <v>6</v>
      </c>
      <c r="G64" s="5" t="s">
        <v>6</v>
      </c>
      <c r="H64" s="5" t="s">
        <v>6</v>
      </c>
      <c r="I64" s="35">
        <f>SUM(I65:I67)</f>
        <v>0</v>
      </c>
      <c r="J64" s="35">
        <f>SUM(J65:J67)</f>
        <v>0</v>
      </c>
      <c r="K64" s="35">
        <f>SUM(K65:K67)</f>
        <v>0</v>
      </c>
      <c r="L64" s="28"/>
      <c r="AI64" s="28"/>
      <c r="AS64" s="35">
        <f>SUM(AJ65:AJ67)</f>
        <v>0</v>
      </c>
      <c r="AT64" s="35">
        <f>SUM(AK65:AK67)</f>
        <v>0</v>
      </c>
      <c r="AU64" s="35">
        <f>SUM(AL65:AL67)</f>
        <v>0</v>
      </c>
    </row>
    <row r="65" spans="1:62" x14ac:dyDescent="0.2">
      <c r="A65" s="4" t="s">
        <v>21</v>
      </c>
      <c r="B65" s="4" t="s">
        <v>175</v>
      </c>
      <c r="C65" s="59" t="s">
        <v>378</v>
      </c>
      <c r="D65" s="60"/>
      <c r="E65" s="60"/>
      <c r="F65" s="4" t="s">
        <v>816</v>
      </c>
      <c r="G65" s="15">
        <v>635</v>
      </c>
      <c r="H65" s="15">
        <v>0</v>
      </c>
      <c r="I65" s="15">
        <f>G65*AO65</f>
        <v>0</v>
      </c>
      <c r="J65" s="15">
        <f>G65*AP65</f>
        <v>0</v>
      </c>
      <c r="K65" s="15">
        <f>G65*H65</f>
        <v>0</v>
      </c>
      <c r="L65" s="27" t="s">
        <v>839</v>
      </c>
      <c r="Z65" s="32">
        <f>IF(AQ65="5",BJ65,0)</f>
        <v>0</v>
      </c>
      <c r="AB65" s="32">
        <f>IF(AQ65="1",BH65,0)</f>
        <v>0</v>
      </c>
      <c r="AC65" s="32">
        <f>IF(AQ65="1",BI65,0)</f>
        <v>0</v>
      </c>
      <c r="AD65" s="32">
        <f>IF(AQ65="7",BH65,0)</f>
        <v>0</v>
      </c>
      <c r="AE65" s="32">
        <f>IF(AQ65="7",BI65,0)</f>
        <v>0</v>
      </c>
      <c r="AF65" s="32">
        <f>IF(AQ65="2",BH65,0)</f>
        <v>0</v>
      </c>
      <c r="AG65" s="32">
        <f>IF(AQ65="2",BI65,0)</f>
        <v>0</v>
      </c>
      <c r="AH65" s="32">
        <f>IF(AQ65="0",BJ65,0)</f>
        <v>0</v>
      </c>
      <c r="AI65" s="28"/>
      <c r="AJ65" s="15">
        <f>IF(AN65=0,K65,0)</f>
        <v>0</v>
      </c>
      <c r="AK65" s="15">
        <f>IF(AN65=15,K65,0)</f>
        <v>0</v>
      </c>
      <c r="AL65" s="15">
        <f>IF(AN65=21,K65,0)</f>
        <v>0</v>
      </c>
      <c r="AN65" s="32">
        <v>21</v>
      </c>
      <c r="AO65" s="32">
        <f>H65*0.0435406698564593</f>
        <v>0</v>
      </c>
      <c r="AP65" s="32">
        <f>H65*(1-0.0435406698564593)</f>
        <v>0</v>
      </c>
      <c r="AQ65" s="27" t="s">
        <v>7</v>
      </c>
      <c r="AV65" s="32">
        <f>AW65+AX65</f>
        <v>0</v>
      </c>
      <c r="AW65" s="32">
        <f>G65*AO65</f>
        <v>0</v>
      </c>
      <c r="AX65" s="32">
        <f>G65*AP65</f>
        <v>0</v>
      </c>
      <c r="AY65" s="33" t="s">
        <v>861</v>
      </c>
      <c r="AZ65" s="33" t="s">
        <v>885</v>
      </c>
      <c r="BA65" s="28" t="s">
        <v>891</v>
      </c>
      <c r="BC65" s="32">
        <f>AW65+AX65</f>
        <v>0</v>
      </c>
      <c r="BD65" s="32">
        <f>H65/(100-BE65)*100</f>
        <v>0</v>
      </c>
      <c r="BE65" s="32">
        <v>0</v>
      </c>
      <c r="BF65" s="32">
        <f>65</f>
        <v>65</v>
      </c>
      <c r="BH65" s="15">
        <f>G65*AO65</f>
        <v>0</v>
      </c>
      <c r="BI65" s="15">
        <f>G65*AP65</f>
        <v>0</v>
      </c>
      <c r="BJ65" s="15">
        <f>G65*H65</f>
        <v>0</v>
      </c>
    </row>
    <row r="66" spans="1:62" x14ac:dyDescent="0.2">
      <c r="C66" s="57" t="s">
        <v>379</v>
      </c>
      <c r="D66" s="58"/>
      <c r="E66" s="58"/>
      <c r="G66" s="16">
        <v>635</v>
      </c>
    </row>
    <row r="67" spans="1:62" x14ac:dyDescent="0.2">
      <c r="A67" s="4" t="s">
        <v>22</v>
      </c>
      <c r="B67" s="4" t="s">
        <v>176</v>
      </c>
      <c r="C67" s="59" t="s">
        <v>380</v>
      </c>
      <c r="D67" s="60"/>
      <c r="E67" s="60"/>
      <c r="F67" s="4" t="s">
        <v>817</v>
      </c>
      <c r="G67" s="15">
        <v>317.5</v>
      </c>
      <c r="H67" s="15">
        <v>0</v>
      </c>
      <c r="I67" s="15">
        <f>G67*AO67</f>
        <v>0</v>
      </c>
      <c r="J67" s="15">
        <f>G67*AP67</f>
        <v>0</v>
      </c>
      <c r="K67" s="15">
        <f>G67*H67</f>
        <v>0</v>
      </c>
      <c r="L67" s="27" t="s">
        <v>839</v>
      </c>
      <c r="Z67" s="32">
        <f>IF(AQ67="5",BJ67,0)</f>
        <v>0</v>
      </c>
      <c r="AB67" s="32">
        <f>IF(AQ67="1",BH67,0)</f>
        <v>0</v>
      </c>
      <c r="AC67" s="32">
        <f>IF(AQ67="1",BI67,0)</f>
        <v>0</v>
      </c>
      <c r="AD67" s="32">
        <f>IF(AQ67="7",BH67,0)</f>
        <v>0</v>
      </c>
      <c r="AE67" s="32">
        <f>IF(AQ67="7",BI67,0)</f>
        <v>0</v>
      </c>
      <c r="AF67" s="32">
        <f>IF(AQ67="2",BH67,0)</f>
        <v>0</v>
      </c>
      <c r="AG67" s="32">
        <f>IF(AQ67="2",BI67,0)</f>
        <v>0</v>
      </c>
      <c r="AH67" s="32">
        <f>IF(AQ67="0",BJ67,0)</f>
        <v>0</v>
      </c>
      <c r="AI67" s="28"/>
      <c r="AJ67" s="15">
        <f>IF(AN67=0,K67,0)</f>
        <v>0</v>
      </c>
      <c r="AK67" s="15">
        <f>IF(AN67=15,K67,0)</f>
        <v>0</v>
      </c>
      <c r="AL67" s="15">
        <f>IF(AN67=21,K67,0)</f>
        <v>0</v>
      </c>
      <c r="AN67" s="32">
        <v>21</v>
      </c>
      <c r="AO67" s="32">
        <f>H67*0.142324159021407</f>
        <v>0</v>
      </c>
      <c r="AP67" s="32">
        <f>H67*(1-0.142324159021407)</f>
        <v>0</v>
      </c>
      <c r="AQ67" s="27" t="s">
        <v>7</v>
      </c>
      <c r="AV67" s="32">
        <f>AW67+AX67</f>
        <v>0</v>
      </c>
      <c r="AW67" s="32">
        <f>G67*AO67</f>
        <v>0</v>
      </c>
      <c r="AX67" s="32">
        <f>G67*AP67</f>
        <v>0</v>
      </c>
      <c r="AY67" s="33" t="s">
        <v>861</v>
      </c>
      <c r="AZ67" s="33" t="s">
        <v>885</v>
      </c>
      <c r="BA67" s="28" t="s">
        <v>891</v>
      </c>
      <c r="BC67" s="32">
        <f>AW67+AX67</f>
        <v>0</v>
      </c>
      <c r="BD67" s="32">
        <f>H67/(100-BE67)*100</f>
        <v>0</v>
      </c>
      <c r="BE67" s="32">
        <v>0</v>
      </c>
      <c r="BF67" s="32">
        <f>67</f>
        <v>67</v>
      </c>
      <c r="BH67" s="15">
        <f>G67*AO67</f>
        <v>0</v>
      </c>
      <c r="BI67" s="15">
        <f>G67*AP67</f>
        <v>0</v>
      </c>
      <c r="BJ67" s="15">
        <f>G67*H67</f>
        <v>0</v>
      </c>
    </row>
    <row r="68" spans="1:62" x14ac:dyDescent="0.2">
      <c r="C68" s="57" t="s">
        <v>381</v>
      </c>
      <c r="D68" s="58"/>
      <c r="E68" s="58"/>
      <c r="G68" s="16">
        <v>317.5</v>
      </c>
    </row>
    <row r="69" spans="1:62" x14ac:dyDescent="0.2">
      <c r="A69" s="5"/>
      <c r="B69" s="13" t="s">
        <v>67</v>
      </c>
      <c r="C69" s="65" t="s">
        <v>382</v>
      </c>
      <c r="D69" s="66"/>
      <c r="E69" s="66"/>
      <c r="F69" s="5" t="s">
        <v>6</v>
      </c>
      <c r="G69" s="5" t="s">
        <v>6</v>
      </c>
      <c r="H69" s="5" t="s">
        <v>6</v>
      </c>
      <c r="I69" s="35">
        <f>SUM(I70:I179)</f>
        <v>0</v>
      </c>
      <c r="J69" s="35">
        <f>SUM(J70:J179)</f>
        <v>0</v>
      </c>
      <c r="K69" s="35">
        <f>SUM(K70:K179)</f>
        <v>0</v>
      </c>
      <c r="L69" s="28"/>
      <c r="AI69" s="28"/>
      <c r="AS69" s="35">
        <f>SUM(AJ70:AJ179)</f>
        <v>0</v>
      </c>
      <c r="AT69" s="35">
        <f>SUM(AK70:AK179)</f>
        <v>0</v>
      </c>
      <c r="AU69" s="35">
        <f>SUM(AL70:AL179)</f>
        <v>0</v>
      </c>
    </row>
    <row r="70" spans="1:62" x14ac:dyDescent="0.2">
      <c r="A70" s="4" t="s">
        <v>23</v>
      </c>
      <c r="B70" s="4" t="s">
        <v>177</v>
      </c>
      <c r="C70" s="59" t="s">
        <v>383</v>
      </c>
      <c r="D70" s="60"/>
      <c r="E70" s="60"/>
      <c r="F70" s="4" t="s">
        <v>816</v>
      </c>
      <c r="G70" s="15">
        <v>24</v>
      </c>
      <c r="H70" s="15">
        <v>0</v>
      </c>
      <c r="I70" s="15">
        <f>G70*AO70</f>
        <v>0</v>
      </c>
      <c r="J70" s="15">
        <f>G70*AP70</f>
        <v>0</v>
      </c>
      <c r="K70" s="15">
        <f>G70*H70</f>
        <v>0</v>
      </c>
      <c r="L70" s="27" t="s">
        <v>839</v>
      </c>
      <c r="Z70" s="32">
        <f>IF(AQ70="5",BJ70,0)</f>
        <v>0</v>
      </c>
      <c r="AB70" s="32">
        <f>IF(AQ70="1",BH70,0)</f>
        <v>0</v>
      </c>
      <c r="AC70" s="32">
        <f>IF(AQ70="1",BI70,0)</f>
        <v>0</v>
      </c>
      <c r="AD70" s="32">
        <f>IF(AQ70="7",BH70,0)</f>
        <v>0</v>
      </c>
      <c r="AE70" s="32">
        <f>IF(AQ70="7",BI70,0)</f>
        <v>0</v>
      </c>
      <c r="AF70" s="32">
        <f>IF(AQ70="2",BH70,0)</f>
        <v>0</v>
      </c>
      <c r="AG70" s="32">
        <f>IF(AQ70="2",BI70,0)</f>
        <v>0</v>
      </c>
      <c r="AH70" s="32">
        <f>IF(AQ70="0",BJ70,0)</f>
        <v>0</v>
      </c>
      <c r="AI70" s="28"/>
      <c r="AJ70" s="15">
        <f>IF(AN70=0,K70,0)</f>
        <v>0</v>
      </c>
      <c r="AK70" s="15">
        <f>IF(AN70=15,K70,0)</f>
        <v>0</v>
      </c>
      <c r="AL70" s="15">
        <f>IF(AN70=21,K70,0)</f>
        <v>0</v>
      </c>
      <c r="AN70" s="32">
        <v>21</v>
      </c>
      <c r="AO70" s="32">
        <f>H70*0.707709923664122</f>
        <v>0</v>
      </c>
      <c r="AP70" s="32">
        <f>H70*(1-0.707709923664122)</f>
        <v>0</v>
      </c>
      <c r="AQ70" s="27" t="s">
        <v>7</v>
      </c>
      <c r="AV70" s="32">
        <f>AW70+AX70</f>
        <v>0</v>
      </c>
      <c r="AW70" s="32">
        <f>G70*AO70</f>
        <v>0</v>
      </c>
      <c r="AX70" s="32">
        <f>G70*AP70</f>
        <v>0</v>
      </c>
      <c r="AY70" s="33" t="s">
        <v>862</v>
      </c>
      <c r="AZ70" s="33" t="s">
        <v>885</v>
      </c>
      <c r="BA70" s="28" t="s">
        <v>891</v>
      </c>
      <c r="BC70" s="32">
        <f>AW70+AX70</f>
        <v>0</v>
      </c>
      <c r="BD70" s="32">
        <f>H70/(100-BE70)*100</f>
        <v>0</v>
      </c>
      <c r="BE70" s="32">
        <v>0</v>
      </c>
      <c r="BF70" s="32">
        <f>70</f>
        <v>70</v>
      </c>
      <c r="BH70" s="15">
        <f>G70*AO70</f>
        <v>0</v>
      </c>
      <c r="BI70" s="15">
        <f>G70*AP70</f>
        <v>0</v>
      </c>
      <c r="BJ70" s="15">
        <f>G70*H70</f>
        <v>0</v>
      </c>
    </row>
    <row r="71" spans="1:62" x14ac:dyDescent="0.2">
      <c r="C71" s="57" t="s">
        <v>384</v>
      </c>
      <c r="D71" s="58"/>
      <c r="E71" s="58"/>
      <c r="G71" s="16">
        <v>24</v>
      </c>
    </row>
    <row r="72" spans="1:62" x14ac:dyDescent="0.2">
      <c r="A72" s="4" t="s">
        <v>24</v>
      </c>
      <c r="B72" s="4" t="s">
        <v>178</v>
      </c>
      <c r="C72" s="59" t="s">
        <v>385</v>
      </c>
      <c r="D72" s="60"/>
      <c r="E72" s="60"/>
      <c r="F72" s="4" t="s">
        <v>817</v>
      </c>
      <c r="G72" s="15">
        <v>62.25</v>
      </c>
      <c r="H72" s="15">
        <v>0</v>
      </c>
      <c r="I72" s="15">
        <f>G72*AO72</f>
        <v>0</v>
      </c>
      <c r="J72" s="15">
        <f>G72*AP72</f>
        <v>0</v>
      </c>
      <c r="K72" s="15">
        <f>G72*H72</f>
        <v>0</v>
      </c>
      <c r="L72" s="27" t="s">
        <v>839</v>
      </c>
      <c r="Z72" s="32">
        <f>IF(AQ72="5",BJ72,0)</f>
        <v>0</v>
      </c>
      <c r="AB72" s="32">
        <f>IF(AQ72="1",BH72,0)</f>
        <v>0</v>
      </c>
      <c r="AC72" s="32">
        <f>IF(AQ72="1",BI72,0)</f>
        <v>0</v>
      </c>
      <c r="AD72" s="32">
        <f>IF(AQ72="7",BH72,0)</f>
        <v>0</v>
      </c>
      <c r="AE72" s="32">
        <f>IF(AQ72="7",BI72,0)</f>
        <v>0</v>
      </c>
      <c r="AF72" s="32">
        <f>IF(AQ72="2",BH72,0)</f>
        <v>0</v>
      </c>
      <c r="AG72" s="32">
        <f>IF(AQ72="2",BI72,0)</f>
        <v>0</v>
      </c>
      <c r="AH72" s="32">
        <f>IF(AQ72="0",BJ72,0)</f>
        <v>0</v>
      </c>
      <c r="AI72" s="28"/>
      <c r="AJ72" s="15">
        <f>IF(AN72=0,K72,0)</f>
        <v>0</v>
      </c>
      <c r="AK72" s="15">
        <f>IF(AN72=15,K72,0)</f>
        <v>0</v>
      </c>
      <c r="AL72" s="15">
        <f>IF(AN72=21,K72,0)</f>
        <v>0</v>
      </c>
      <c r="AN72" s="32">
        <v>21</v>
      </c>
      <c r="AO72" s="32">
        <f>H72*0.612617520259352</f>
        <v>0</v>
      </c>
      <c r="AP72" s="32">
        <f>H72*(1-0.612617520259352)</f>
        <v>0</v>
      </c>
      <c r="AQ72" s="27" t="s">
        <v>7</v>
      </c>
      <c r="AV72" s="32">
        <f>AW72+AX72</f>
        <v>0</v>
      </c>
      <c r="AW72" s="32">
        <f>G72*AO72</f>
        <v>0</v>
      </c>
      <c r="AX72" s="32">
        <f>G72*AP72</f>
        <v>0</v>
      </c>
      <c r="AY72" s="33" t="s">
        <v>862</v>
      </c>
      <c r="AZ72" s="33" t="s">
        <v>885</v>
      </c>
      <c r="BA72" s="28" t="s">
        <v>891</v>
      </c>
      <c r="BC72" s="32">
        <f>AW72+AX72</f>
        <v>0</v>
      </c>
      <c r="BD72" s="32">
        <f>H72/(100-BE72)*100</f>
        <v>0</v>
      </c>
      <c r="BE72" s="32">
        <v>0</v>
      </c>
      <c r="BF72" s="32">
        <f>72</f>
        <v>72</v>
      </c>
      <c r="BH72" s="15">
        <f>G72*AO72</f>
        <v>0</v>
      </c>
      <c r="BI72" s="15">
        <f>G72*AP72</f>
        <v>0</v>
      </c>
      <c r="BJ72" s="15">
        <f>G72*H72</f>
        <v>0</v>
      </c>
    </row>
    <row r="73" spans="1:62" x14ac:dyDescent="0.2">
      <c r="C73" s="57" t="s">
        <v>386</v>
      </c>
      <c r="D73" s="58"/>
      <c r="E73" s="58"/>
      <c r="G73" s="16">
        <v>62.25</v>
      </c>
    </row>
    <row r="74" spans="1:62" x14ac:dyDescent="0.2">
      <c r="A74" s="4" t="s">
        <v>25</v>
      </c>
      <c r="B74" s="4" t="s">
        <v>178</v>
      </c>
      <c r="C74" s="59" t="s">
        <v>387</v>
      </c>
      <c r="D74" s="60"/>
      <c r="E74" s="60"/>
      <c r="F74" s="4" t="s">
        <v>817</v>
      </c>
      <c r="G74" s="15">
        <v>105.75</v>
      </c>
      <c r="H74" s="15">
        <v>0</v>
      </c>
      <c r="I74" s="15">
        <f>G74*AO74</f>
        <v>0</v>
      </c>
      <c r="J74" s="15">
        <f>G74*AP74</f>
        <v>0</v>
      </c>
      <c r="K74" s="15">
        <f>G74*H74</f>
        <v>0</v>
      </c>
      <c r="L74" s="27" t="s">
        <v>839</v>
      </c>
      <c r="Z74" s="32">
        <f>IF(AQ74="5",BJ74,0)</f>
        <v>0</v>
      </c>
      <c r="AB74" s="32">
        <f>IF(AQ74="1",BH74,0)</f>
        <v>0</v>
      </c>
      <c r="AC74" s="32">
        <f>IF(AQ74="1",BI74,0)</f>
        <v>0</v>
      </c>
      <c r="AD74" s="32">
        <f>IF(AQ74="7",BH74,0)</f>
        <v>0</v>
      </c>
      <c r="AE74" s="32">
        <f>IF(AQ74="7",BI74,0)</f>
        <v>0</v>
      </c>
      <c r="AF74" s="32">
        <f>IF(AQ74="2",BH74,0)</f>
        <v>0</v>
      </c>
      <c r="AG74" s="32">
        <f>IF(AQ74="2",BI74,0)</f>
        <v>0</v>
      </c>
      <c r="AH74" s="32">
        <f>IF(AQ74="0",BJ74,0)</f>
        <v>0</v>
      </c>
      <c r="AI74" s="28"/>
      <c r="AJ74" s="15">
        <f>IF(AN74=0,K74,0)</f>
        <v>0</v>
      </c>
      <c r="AK74" s="15">
        <f>IF(AN74=15,K74,0)</f>
        <v>0</v>
      </c>
      <c r="AL74" s="15">
        <f>IF(AN74=21,K74,0)</f>
        <v>0</v>
      </c>
      <c r="AN74" s="32">
        <v>21</v>
      </c>
      <c r="AO74" s="32">
        <f>H74*0.612617482422549</f>
        <v>0</v>
      </c>
      <c r="AP74" s="32">
        <f>H74*(1-0.612617482422549)</f>
        <v>0</v>
      </c>
      <c r="AQ74" s="27" t="s">
        <v>7</v>
      </c>
      <c r="AV74" s="32">
        <f>AW74+AX74</f>
        <v>0</v>
      </c>
      <c r="AW74" s="32">
        <f>G74*AO74</f>
        <v>0</v>
      </c>
      <c r="AX74" s="32">
        <f>G74*AP74</f>
        <v>0</v>
      </c>
      <c r="AY74" s="33" t="s">
        <v>862</v>
      </c>
      <c r="AZ74" s="33" t="s">
        <v>885</v>
      </c>
      <c r="BA74" s="28" t="s">
        <v>891</v>
      </c>
      <c r="BC74" s="32">
        <f>AW74+AX74</f>
        <v>0</v>
      </c>
      <c r="BD74" s="32">
        <f>H74/(100-BE74)*100</f>
        <v>0</v>
      </c>
      <c r="BE74" s="32">
        <v>0</v>
      </c>
      <c r="BF74" s="32">
        <f>74</f>
        <v>74</v>
      </c>
      <c r="BH74" s="15">
        <f>G74*AO74</f>
        <v>0</v>
      </c>
      <c r="BI74" s="15">
        <f>G74*AP74</f>
        <v>0</v>
      </c>
      <c r="BJ74" s="15">
        <f>G74*H74</f>
        <v>0</v>
      </c>
    </row>
    <row r="75" spans="1:62" x14ac:dyDescent="0.2">
      <c r="C75" s="57" t="s">
        <v>388</v>
      </c>
      <c r="D75" s="58"/>
      <c r="E75" s="58"/>
      <c r="G75" s="16">
        <v>105.75</v>
      </c>
    </row>
    <row r="76" spans="1:62" x14ac:dyDescent="0.2">
      <c r="A76" s="4" t="s">
        <v>26</v>
      </c>
      <c r="B76" s="4" t="s">
        <v>179</v>
      </c>
      <c r="C76" s="59" t="s">
        <v>389</v>
      </c>
      <c r="D76" s="60"/>
      <c r="E76" s="60"/>
      <c r="F76" s="4" t="s">
        <v>817</v>
      </c>
      <c r="G76" s="15">
        <v>207.5</v>
      </c>
      <c r="H76" s="15">
        <v>0</v>
      </c>
      <c r="I76" s="15">
        <f>G76*AO76</f>
        <v>0</v>
      </c>
      <c r="J76" s="15">
        <f>G76*AP76</f>
        <v>0</v>
      </c>
      <c r="K76" s="15">
        <f>G76*H76</f>
        <v>0</v>
      </c>
      <c r="L76" s="27" t="s">
        <v>839</v>
      </c>
      <c r="Z76" s="32">
        <f>IF(AQ76="5",BJ76,0)</f>
        <v>0</v>
      </c>
      <c r="AB76" s="32">
        <f>IF(AQ76="1",BH76,0)</f>
        <v>0</v>
      </c>
      <c r="AC76" s="32">
        <f>IF(AQ76="1",BI76,0)</f>
        <v>0</v>
      </c>
      <c r="AD76" s="32">
        <f>IF(AQ76="7",BH76,0)</f>
        <v>0</v>
      </c>
      <c r="AE76" s="32">
        <f>IF(AQ76="7",BI76,0)</f>
        <v>0</v>
      </c>
      <c r="AF76" s="32">
        <f>IF(AQ76="2",BH76,0)</f>
        <v>0</v>
      </c>
      <c r="AG76" s="32">
        <f>IF(AQ76="2",BI76,0)</f>
        <v>0</v>
      </c>
      <c r="AH76" s="32">
        <f>IF(AQ76="0",BJ76,0)</f>
        <v>0</v>
      </c>
      <c r="AI76" s="28"/>
      <c r="AJ76" s="15">
        <f>IF(AN76=0,K76,0)</f>
        <v>0</v>
      </c>
      <c r="AK76" s="15">
        <f>IF(AN76=15,K76,0)</f>
        <v>0</v>
      </c>
      <c r="AL76" s="15">
        <f>IF(AN76=21,K76,0)</f>
        <v>0</v>
      </c>
      <c r="AN76" s="32">
        <v>21</v>
      </c>
      <c r="AO76" s="32">
        <f>H76*0.663979899497487</f>
        <v>0</v>
      </c>
      <c r="AP76" s="32">
        <f>H76*(1-0.663979899497487)</f>
        <v>0</v>
      </c>
      <c r="AQ76" s="27" t="s">
        <v>7</v>
      </c>
      <c r="AV76" s="32">
        <f>AW76+AX76</f>
        <v>0</v>
      </c>
      <c r="AW76" s="32">
        <f>G76*AO76</f>
        <v>0</v>
      </c>
      <c r="AX76" s="32">
        <f>G76*AP76</f>
        <v>0</v>
      </c>
      <c r="AY76" s="33" t="s">
        <v>862</v>
      </c>
      <c r="AZ76" s="33" t="s">
        <v>885</v>
      </c>
      <c r="BA76" s="28" t="s">
        <v>891</v>
      </c>
      <c r="BC76" s="32">
        <f>AW76+AX76</f>
        <v>0</v>
      </c>
      <c r="BD76" s="32">
        <f>H76/(100-BE76)*100</f>
        <v>0</v>
      </c>
      <c r="BE76" s="32">
        <v>0</v>
      </c>
      <c r="BF76" s="32">
        <f>76</f>
        <v>76</v>
      </c>
      <c r="BH76" s="15">
        <f>G76*AO76</f>
        <v>0</v>
      </c>
      <c r="BI76" s="15">
        <f>G76*AP76</f>
        <v>0</v>
      </c>
      <c r="BJ76" s="15">
        <f>G76*H76</f>
        <v>0</v>
      </c>
    </row>
    <row r="77" spans="1:62" x14ac:dyDescent="0.2">
      <c r="C77" s="57" t="s">
        <v>390</v>
      </c>
      <c r="D77" s="58"/>
      <c r="E77" s="58"/>
      <c r="G77" s="16">
        <v>207.5</v>
      </c>
    </row>
    <row r="78" spans="1:62" x14ac:dyDescent="0.2">
      <c r="A78" s="4" t="s">
        <v>27</v>
      </c>
      <c r="B78" s="4" t="s">
        <v>180</v>
      </c>
      <c r="C78" s="59" t="s">
        <v>391</v>
      </c>
      <c r="D78" s="60"/>
      <c r="E78" s="60"/>
      <c r="F78" s="4" t="s">
        <v>817</v>
      </c>
      <c r="G78" s="15">
        <v>1028.95</v>
      </c>
      <c r="H78" s="15">
        <v>0</v>
      </c>
      <c r="I78" s="15">
        <f>G78*AO78</f>
        <v>0</v>
      </c>
      <c r="J78" s="15">
        <f>G78*AP78</f>
        <v>0</v>
      </c>
      <c r="K78" s="15">
        <f>G78*H78</f>
        <v>0</v>
      </c>
      <c r="L78" s="27" t="s">
        <v>839</v>
      </c>
      <c r="Z78" s="32">
        <f>IF(AQ78="5",BJ78,0)</f>
        <v>0</v>
      </c>
      <c r="AB78" s="32">
        <f>IF(AQ78="1",BH78,0)</f>
        <v>0</v>
      </c>
      <c r="AC78" s="32">
        <f>IF(AQ78="1",BI78,0)</f>
        <v>0</v>
      </c>
      <c r="AD78" s="32">
        <f>IF(AQ78="7",BH78,0)</f>
        <v>0</v>
      </c>
      <c r="AE78" s="32">
        <f>IF(AQ78="7",BI78,0)</f>
        <v>0</v>
      </c>
      <c r="AF78" s="32">
        <f>IF(AQ78="2",BH78,0)</f>
        <v>0</v>
      </c>
      <c r="AG78" s="32">
        <f>IF(AQ78="2",BI78,0)</f>
        <v>0</v>
      </c>
      <c r="AH78" s="32">
        <f>IF(AQ78="0",BJ78,0)</f>
        <v>0</v>
      </c>
      <c r="AI78" s="28"/>
      <c r="AJ78" s="15">
        <f>IF(AN78=0,K78,0)</f>
        <v>0</v>
      </c>
      <c r="AK78" s="15">
        <f>IF(AN78=15,K78,0)</f>
        <v>0</v>
      </c>
      <c r="AL78" s="15">
        <f>IF(AN78=21,K78,0)</f>
        <v>0</v>
      </c>
      <c r="AN78" s="32">
        <v>21</v>
      </c>
      <c r="AO78" s="32">
        <f>H78*0.474687224669604</f>
        <v>0</v>
      </c>
      <c r="AP78" s="32">
        <f>H78*(1-0.474687224669604)</f>
        <v>0</v>
      </c>
      <c r="AQ78" s="27" t="s">
        <v>7</v>
      </c>
      <c r="AV78" s="32">
        <f>AW78+AX78</f>
        <v>0</v>
      </c>
      <c r="AW78" s="32">
        <f>G78*AO78</f>
        <v>0</v>
      </c>
      <c r="AX78" s="32">
        <f>G78*AP78</f>
        <v>0</v>
      </c>
      <c r="AY78" s="33" t="s">
        <v>862</v>
      </c>
      <c r="AZ78" s="33" t="s">
        <v>885</v>
      </c>
      <c r="BA78" s="28" t="s">
        <v>891</v>
      </c>
      <c r="BC78" s="32">
        <f>AW78+AX78</f>
        <v>0</v>
      </c>
      <c r="BD78" s="32">
        <f>H78/(100-BE78)*100</f>
        <v>0</v>
      </c>
      <c r="BE78" s="32">
        <v>0</v>
      </c>
      <c r="BF78" s="32">
        <f>78</f>
        <v>78</v>
      </c>
      <c r="BH78" s="15">
        <f>G78*AO78</f>
        <v>0</v>
      </c>
      <c r="BI78" s="15">
        <f>G78*AP78</f>
        <v>0</v>
      </c>
      <c r="BJ78" s="15">
        <f>G78*H78</f>
        <v>0</v>
      </c>
    </row>
    <row r="79" spans="1:62" x14ac:dyDescent="0.2">
      <c r="C79" s="57" t="s">
        <v>392</v>
      </c>
      <c r="D79" s="58"/>
      <c r="E79" s="58"/>
      <c r="G79" s="16">
        <v>550.25</v>
      </c>
    </row>
    <row r="80" spans="1:62" x14ac:dyDescent="0.2">
      <c r="C80" s="57" t="s">
        <v>393</v>
      </c>
      <c r="D80" s="58"/>
      <c r="E80" s="58"/>
      <c r="G80" s="16">
        <v>537</v>
      </c>
    </row>
    <row r="81" spans="1:62" x14ac:dyDescent="0.2">
      <c r="C81" s="57" t="s">
        <v>394</v>
      </c>
      <c r="D81" s="58"/>
      <c r="E81" s="58"/>
      <c r="G81" s="16">
        <v>299</v>
      </c>
    </row>
    <row r="82" spans="1:62" x14ac:dyDescent="0.2">
      <c r="C82" s="57" t="s">
        <v>395</v>
      </c>
      <c r="D82" s="58"/>
      <c r="E82" s="58"/>
      <c r="G82" s="16">
        <v>-357.3</v>
      </c>
    </row>
    <row r="83" spans="1:62" x14ac:dyDescent="0.2">
      <c r="A83" s="4" t="s">
        <v>28</v>
      </c>
      <c r="B83" s="4" t="s">
        <v>181</v>
      </c>
      <c r="C83" s="59" t="s">
        <v>396</v>
      </c>
      <c r="D83" s="60"/>
      <c r="E83" s="60"/>
      <c r="F83" s="4" t="s">
        <v>817</v>
      </c>
      <c r="G83" s="15">
        <v>173.19</v>
      </c>
      <c r="H83" s="15">
        <v>0</v>
      </c>
      <c r="I83" s="15">
        <f>G83*AO83</f>
        <v>0</v>
      </c>
      <c r="J83" s="15">
        <f>G83*AP83</f>
        <v>0</v>
      </c>
      <c r="K83" s="15">
        <f>G83*H83</f>
        <v>0</v>
      </c>
      <c r="L83" s="27" t="s">
        <v>839</v>
      </c>
      <c r="Z83" s="32">
        <f>IF(AQ83="5",BJ83,0)</f>
        <v>0</v>
      </c>
      <c r="AB83" s="32">
        <f>IF(AQ83="1",BH83,0)</f>
        <v>0</v>
      </c>
      <c r="AC83" s="32">
        <f>IF(AQ83="1",BI83,0)</f>
        <v>0</v>
      </c>
      <c r="AD83" s="32">
        <f>IF(AQ83="7",BH83,0)</f>
        <v>0</v>
      </c>
      <c r="AE83" s="32">
        <f>IF(AQ83="7",BI83,0)</f>
        <v>0</v>
      </c>
      <c r="AF83" s="32">
        <f>IF(AQ83="2",BH83,0)</f>
        <v>0</v>
      </c>
      <c r="AG83" s="32">
        <f>IF(AQ83="2",BI83,0)</f>
        <v>0</v>
      </c>
      <c r="AH83" s="32">
        <f>IF(AQ83="0",BJ83,0)</f>
        <v>0</v>
      </c>
      <c r="AI83" s="28"/>
      <c r="AJ83" s="15">
        <f>IF(AN83=0,K83,0)</f>
        <v>0</v>
      </c>
      <c r="AK83" s="15">
        <f>IF(AN83=15,K83,0)</f>
        <v>0</v>
      </c>
      <c r="AL83" s="15">
        <f>IF(AN83=21,K83,0)</f>
        <v>0</v>
      </c>
      <c r="AN83" s="32">
        <v>21</v>
      </c>
      <c r="AO83" s="32">
        <f>H83*0.346495192307692</f>
        <v>0</v>
      </c>
      <c r="AP83" s="32">
        <f>H83*(1-0.346495192307692)</f>
        <v>0</v>
      </c>
      <c r="AQ83" s="27" t="s">
        <v>7</v>
      </c>
      <c r="AV83" s="32">
        <f>AW83+AX83</f>
        <v>0</v>
      </c>
      <c r="AW83" s="32">
        <f>G83*AO83</f>
        <v>0</v>
      </c>
      <c r="AX83" s="32">
        <f>G83*AP83</f>
        <v>0</v>
      </c>
      <c r="AY83" s="33" t="s">
        <v>862</v>
      </c>
      <c r="AZ83" s="33" t="s">
        <v>885</v>
      </c>
      <c r="BA83" s="28" t="s">
        <v>891</v>
      </c>
      <c r="BC83" s="32">
        <f>AW83+AX83</f>
        <v>0</v>
      </c>
      <c r="BD83" s="32">
        <f>H83/(100-BE83)*100</f>
        <v>0</v>
      </c>
      <c r="BE83" s="32">
        <v>0</v>
      </c>
      <c r="BF83" s="32">
        <f>83</f>
        <v>83</v>
      </c>
      <c r="BH83" s="15">
        <f>G83*AO83</f>
        <v>0</v>
      </c>
      <c r="BI83" s="15">
        <f>G83*AP83</f>
        <v>0</v>
      </c>
      <c r="BJ83" s="15">
        <f>G83*H83</f>
        <v>0</v>
      </c>
    </row>
    <row r="84" spans="1:62" x14ac:dyDescent="0.2">
      <c r="C84" s="57" t="s">
        <v>397</v>
      </c>
      <c r="D84" s="58"/>
      <c r="E84" s="58"/>
      <c r="G84" s="16">
        <v>8.1</v>
      </c>
    </row>
    <row r="85" spans="1:62" x14ac:dyDescent="0.2">
      <c r="C85" s="57" t="s">
        <v>398</v>
      </c>
      <c r="D85" s="58"/>
      <c r="E85" s="58"/>
      <c r="G85" s="16">
        <v>4.05</v>
      </c>
    </row>
    <row r="86" spans="1:62" x14ac:dyDescent="0.2">
      <c r="C86" s="57" t="s">
        <v>399</v>
      </c>
      <c r="D86" s="58"/>
      <c r="E86" s="58"/>
      <c r="G86" s="16">
        <v>62.64</v>
      </c>
    </row>
    <row r="87" spans="1:62" x14ac:dyDescent="0.2">
      <c r="C87" s="57" t="s">
        <v>400</v>
      </c>
      <c r="D87" s="58"/>
      <c r="E87" s="58"/>
      <c r="G87" s="16">
        <v>49.14</v>
      </c>
    </row>
    <row r="88" spans="1:62" x14ac:dyDescent="0.2">
      <c r="C88" s="57" t="s">
        <v>401</v>
      </c>
      <c r="D88" s="58"/>
      <c r="E88" s="58"/>
      <c r="G88" s="16">
        <v>13.86</v>
      </c>
    </row>
    <row r="89" spans="1:62" x14ac:dyDescent="0.2">
      <c r="C89" s="57" t="s">
        <v>402</v>
      </c>
      <c r="D89" s="58"/>
      <c r="E89" s="58"/>
      <c r="G89" s="16">
        <v>2.94</v>
      </c>
    </row>
    <row r="90" spans="1:62" x14ac:dyDescent="0.2">
      <c r="C90" s="57" t="s">
        <v>403</v>
      </c>
      <c r="D90" s="58"/>
      <c r="E90" s="58"/>
      <c r="G90" s="16">
        <v>0.54</v>
      </c>
    </row>
    <row r="91" spans="1:62" x14ac:dyDescent="0.2">
      <c r="C91" s="57" t="s">
        <v>404</v>
      </c>
      <c r="D91" s="58"/>
      <c r="E91" s="58"/>
      <c r="G91" s="16">
        <v>1.17</v>
      </c>
    </row>
    <row r="92" spans="1:62" x14ac:dyDescent="0.2">
      <c r="C92" s="57" t="s">
        <v>405</v>
      </c>
      <c r="D92" s="58"/>
      <c r="E92" s="58"/>
      <c r="G92" s="16">
        <v>20.16</v>
      </c>
    </row>
    <row r="93" spans="1:62" x14ac:dyDescent="0.2">
      <c r="C93" s="57" t="s">
        <v>406</v>
      </c>
      <c r="D93" s="58"/>
      <c r="E93" s="58"/>
      <c r="G93" s="16">
        <v>1.8</v>
      </c>
    </row>
    <row r="94" spans="1:62" x14ac:dyDescent="0.2">
      <c r="C94" s="57" t="s">
        <v>407</v>
      </c>
      <c r="D94" s="58"/>
      <c r="E94" s="58"/>
      <c r="G94" s="16">
        <v>5.16</v>
      </c>
    </row>
    <row r="95" spans="1:62" x14ac:dyDescent="0.2">
      <c r="C95" s="57" t="s">
        <v>408</v>
      </c>
      <c r="D95" s="58"/>
      <c r="E95" s="58"/>
      <c r="G95" s="16">
        <v>0.72</v>
      </c>
    </row>
    <row r="96" spans="1:62" x14ac:dyDescent="0.2">
      <c r="C96" s="57" t="s">
        <v>409</v>
      </c>
      <c r="D96" s="58"/>
      <c r="E96" s="58"/>
      <c r="G96" s="16">
        <v>1.71</v>
      </c>
    </row>
    <row r="97" spans="1:62" x14ac:dyDescent="0.2">
      <c r="C97" s="57" t="s">
        <v>410</v>
      </c>
      <c r="D97" s="58"/>
      <c r="E97" s="58"/>
      <c r="G97" s="16">
        <v>1.2</v>
      </c>
    </row>
    <row r="98" spans="1:62" x14ac:dyDescent="0.2">
      <c r="A98" s="4" t="s">
        <v>29</v>
      </c>
      <c r="B98" s="4" t="s">
        <v>182</v>
      </c>
      <c r="C98" s="59" t="s">
        <v>411</v>
      </c>
      <c r="D98" s="60"/>
      <c r="E98" s="60"/>
      <c r="F98" s="4" t="s">
        <v>817</v>
      </c>
      <c r="G98" s="15">
        <v>55.74</v>
      </c>
      <c r="H98" s="15">
        <v>0</v>
      </c>
      <c r="I98" s="15">
        <f>G98*AO98</f>
        <v>0</v>
      </c>
      <c r="J98" s="15">
        <f>G98*AP98</f>
        <v>0</v>
      </c>
      <c r="K98" s="15">
        <f>G98*H98</f>
        <v>0</v>
      </c>
      <c r="L98" s="27" t="s">
        <v>839</v>
      </c>
      <c r="Z98" s="32">
        <f>IF(AQ98="5",BJ98,0)</f>
        <v>0</v>
      </c>
      <c r="AB98" s="32">
        <f>IF(AQ98="1",BH98,0)</f>
        <v>0</v>
      </c>
      <c r="AC98" s="32">
        <f>IF(AQ98="1",BI98,0)</f>
        <v>0</v>
      </c>
      <c r="AD98" s="32">
        <f>IF(AQ98="7",BH98,0)</f>
        <v>0</v>
      </c>
      <c r="AE98" s="32">
        <f>IF(AQ98="7",BI98,0)</f>
        <v>0</v>
      </c>
      <c r="AF98" s="32">
        <f>IF(AQ98="2",BH98,0)</f>
        <v>0</v>
      </c>
      <c r="AG98" s="32">
        <f>IF(AQ98="2",BI98,0)</f>
        <v>0</v>
      </c>
      <c r="AH98" s="32">
        <f>IF(AQ98="0",BJ98,0)</f>
        <v>0</v>
      </c>
      <c r="AI98" s="28"/>
      <c r="AJ98" s="15">
        <f>IF(AN98=0,K98,0)</f>
        <v>0</v>
      </c>
      <c r="AK98" s="15">
        <f>IF(AN98=15,K98,0)</f>
        <v>0</v>
      </c>
      <c r="AL98" s="15">
        <f>IF(AN98=21,K98,0)</f>
        <v>0</v>
      </c>
      <c r="AN98" s="32">
        <v>21</v>
      </c>
      <c r="AO98" s="32">
        <f>H98*0.315567228659789</f>
        <v>0</v>
      </c>
      <c r="AP98" s="32">
        <f>H98*(1-0.315567228659789)</f>
        <v>0</v>
      </c>
      <c r="AQ98" s="27" t="s">
        <v>7</v>
      </c>
      <c r="AV98" s="32">
        <f>AW98+AX98</f>
        <v>0</v>
      </c>
      <c r="AW98" s="32">
        <f>G98*AO98</f>
        <v>0</v>
      </c>
      <c r="AX98" s="32">
        <f>G98*AP98</f>
        <v>0</v>
      </c>
      <c r="AY98" s="33" t="s">
        <v>862</v>
      </c>
      <c r="AZ98" s="33" t="s">
        <v>885</v>
      </c>
      <c r="BA98" s="28" t="s">
        <v>891</v>
      </c>
      <c r="BC98" s="32">
        <f>AW98+AX98</f>
        <v>0</v>
      </c>
      <c r="BD98" s="32">
        <f>H98/(100-BE98)*100</f>
        <v>0</v>
      </c>
      <c r="BE98" s="32">
        <v>0</v>
      </c>
      <c r="BF98" s="32">
        <f>98</f>
        <v>98</v>
      </c>
      <c r="BH98" s="15">
        <f>G98*AO98</f>
        <v>0</v>
      </c>
      <c r="BI98" s="15">
        <f>G98*AP98</f>
        <v>0</v>
      </c>
      <c r="BJ98" s="15">
        <f>G98*H98</f>
        <v>0</v>
      </c>
    </row>
    <row r="99" spans="1:62" x14ac:dyDescent="0.2">
      <c r="C99" s="57" t="s">
        <v>412</v>
      </c>
      <c r="D99" s="58"/>
      <c r="E99" s="58"/>
      <c r="G99" s="16">
        <v>55.74</v>
      </c>
    </row>
    <row r="100" spans="1:62" x14ac:dyDescent="0.2">
      <c r="A100" s="4" t="s">
        <v>30</v>
      </c>
      <c r="B100" s="4" t="s">
        <v>183</v>
      </c>
      <c r="C100" s="59" t="s">
        <v>413</v>
      </c>
      <c r="D100" s="60"/>
      <c r="E100" s="60"/>
      <c r="F100" s="4" t="s">
        <v>817</v>
      </c>
      <c r="G100" s="15">
        <v>415</v>
      </c>
      <c r="H100" s="15">
        <v>0</v>
      </c>
      <c r="I100" s="15">
        <f>G100*AO100</f>
        <v>0</v>
      </c>
      <c r="J100" s="15">
        <f>G100*AP100</f>
        <v>0</v>
      </c>
      <c r="K100" s="15">
        <f>G100*H100</f>
        <v>0</v>
      </c>
      <c r="L100" s="27" t="s">
        <v>839</v>
      </c>
      <c r="Z100" s="32">
        <f>IF(AQ100="5",BJ100,0)</f>
        <v>0</v>
      </c>
      <c r="AB100" s="32">
        <f>IF(AQ100="1",BH100,0)</f>
        <v>0</v>
      </c>
      <c r="AC100" s="32">
        <f>IF(AQ100="1",BI100,0)</f>
        <v>0</v>
      </c>
      <c r="AD100" s="32">
        <f>IF(AQ100="7",BH100,0)</f>
        <v>0</v>
      </c>
      <c r="AE100" s="32">
        <f>IF(AQ100="7",BI100,0)</f>
        <v>0</v>
      </c>
      <c r="AF100" s="32">
        <f>IF(AQ100="2",BH100,0)</f>
        <v>0</v>
      </c>
      <c r="AG100" s="32">
        <f>IF(AQ100="2",BI100,0)</f>
        <v>0</v>
      </c>
      <c r="AH100" s="32">
        <f>IF(AQ100="0",BJ100,0)</f>
        <v>0</v>
      </c>
      <c r="AI100" s="28"/>
      <c r="AJ100" s="15">
        <f>IF(AN100=0,K100,0)</f>
        <v>0</v>
      </c>
      <c r="AK100" s="15">
        <f>IF(AN100=15,K100,0)</f>
        <v>0</v>
      </c>
      <c r="AL100" s="15">
        <f>IF(AN100=21,K100,0)</f>
        <v>0</v>
      </c>
      <c r="AN100" s="32">
        <v>21</v>
      </c>
      <c r="AO100" s="32">
        <f>H100*0.229030100334448</f>
        <v>0</v>
      </c>
      <c r="AP100" s="32">
        <f>H100*(1-0.229030100334448)</f>
        <v>0</v>
      </c>
      <c r="AQ100" s="27" t="s">
        <v>7</v>
      </c>
      <c r="AV100" s="32">
        <f>AW100+AX100</f>
        <v>0</v>
      </c>
      <c r="AW100" s="32">
        <f>G100*AO100</f>
        <v>0</v>
      </c>
      <c r="AX100" s="32">
        <f>G100*AP100</f>
        <v>0</v>
      </c>
      <c r="AY100" s="33" t="s">
        <v>862</v>
      </c>
      <c r="AZ100" s="33" t="s">
        <v>885</v>
      </c>
      <c r="BA100" s="28" t="s">
        <v>891</v>
      </c>
      <c r="BC100" s="32">
        <f>AW100+AX100</f>
        <v>0</v>
      </c>
      <c r="BD100" s="32">
        <f>H100/(100-BE100)*100</f>
        <v>0</v>
      </c>
      <c r="BE100" s="32">
        <v>0</v>
      </c>
      <c r="BF100" s="32">
        <f>100</f>
        <v>100</v>
      </c>
      <c r="BH100" s="15">
        <f>G100*AO100</f>
        <v>0</v>
      </c>
      <c r="BI100" s="15">
        <f>G100*AP100</f>
        <v>0</v>
      </c>
      <c r="BJ100" s="15">
        <f>G100*H100</f>
        <v>0</v>
      </c>
    </row>
    <row r="101" spans="1:62" x14ac:dyDescent="0.2">
      <c r="C101" s="57" t="s">
        <v>414</v>
      </c>
      <c r="D101" s="58"/>
      <c r="E101" s="58"/>
      <c r="G101" s="16">
        <v>415</v>
      </c>
    </row>
    <row r="102" spans="1:62" x14ac:dyDescent="0.2">
      <c r="A102" s="4" t="s">
        <v>31</v>
      </c>
      <c r="B102" s="4" t="s">
        <v>184</v>
      </c>
      <c r="C102" s="59" t="s">
        <v>415</v>
      </c>
      <c r="D102" s="60"/>
      <c r="E102" s="60"/>
      <c r="F102" s="4" t="s">
        <v>817</v>
      </c>
      <c r="G102" s="15">
        <v>431.178</v>
      </c>
      <c r="H102" s="15">
        <v>0</v>
      </c>
      <c r="I102" s="15">
        <f>G102*AO102</f>
        <v>0</v>
      </c>
      <c r="J102" s="15">
        <f>G102*AP102</f>
        <v>0</v>
      </c>
      <c r="K102" s="15">
        <f>G102*H102</f>
        <v>0</v>
      </c>
      <c r="L102" s="27" t="s">
        <v>839</v>
      </c>
      <c r="Z102" s="32">
        <f>IF(AQ102="5",BJ102,0)</f>
        <v>0</v>
      </c>
      <c r="AB102" s="32">
        <f>IF(AQ102="1",BH102,0)</f>
        <v>0</v>
      </c>
      <c r="AC102" s="32">
        <f>IF(AQ102="1",BI102,0)</f>
        <v>0</v>
      </c>
      <c r="AD102" s="32">
        <f>IF(AQ102="7",BH102,0)</f>
        <v>0</v>
      </c>
      <c r="AE102" s="32">
        <f>IF(AQ102="7",BI102,0)</f>
        <v>0</v>
      </c>
      <c r="AF102" s="32">
        <f>IF(AQ102="2",BH102,0)</f>
        <v>0</v>
      </c>
      <c r="AG102" s="32">
        <f>IF(AQ102="2",BI102,0)</f>
        <v>0</v>
      </c>
      <c r="AH102" s="32">
        <f>IF(AQ102="0",BJ102,0)</f>
        <v>0</v>
      </c>
      <c r="AI102" s="28"/>
      <c r="AJ102" s="15">
        <f>IF(AN102=0,K102,0)</f>
        <v>0</v>
      </c>
      <c r="AK102" s="15">
        <f>IF(AN102=15,K102,0)</f>
        <v>0</v>
      </c>
      <c r="AL102" s="15">
        <f>IF(AN102=21,K102,0)</f>
        <v>0</v>
      </c>
      <c r="AN102" s="32">
        <v>21</v>
      </c>
      <c r="AO102" s="32">
        <f>H102*0.293654335510634</f>
        <v>0</v>
      </c>
      <c r="AP102" s="32">
        <f>H102*(1-0.293654335510634)</f>
        <v>0</v>
      </c>
      <c r="AQ102" s="27" t="s">
        <v>7</v>
      </c>
      <c r="AV102" s="32">
        <f>AW102+AX102</f>
        <v>0</v>
      </c>
      <c r="AW102" s="32">
        <f>G102*AO102</f>
        <v>0</v>
      </c>
      <c r="AX102" s="32">
        <f>G102*AP102</f>
        <v>0</v>
      </c>
      <c r="AY102" s="33" t="s">
        <v>862</v>
      </c>
      <c r="AZ102" s="33" t="s">
        <v>885</v>
      </c>
      <c r="BA102" s="28" t="s">
        <v>891</v>
      </c>
      <c r="BC102" s="32">
        <f>AW102+AX102</f>
        <v>0</v>
      </c>
      <c r="BD102" s="32">
        <f>H102/(100-BE102)*100</f>
        <v>0</v>
      </c>
      <c r="BE102" s="32">
        <v>0</v>
      </c>
      <c r="BF102" s="32">
        <f>102</f>
        <v>102</v>
      </c>
      <c r="BH102" s="15">
        <f>G102*AO102</f>
        <v>0</v>
      </c>
      <c r="BI102" s="15">
        <f>G102*AP102</f>
        <v>0</v>
      </c>
      <c r="BJ102" s="15">
        <f>G102*H102</f>
        <v>0</v>
      </c>
    </row>
    <row r="103" spans="1:62" x14ac:dyDescent="0.2">
      <c r="C103" s="57" t="s">
        <v>416</v>
      </c>
      <c r="D103" s="58"/>
      <c r="E103" s="58"/>
      <c r="G103" s="16">
        <v>12.6</v>
      </c>
    </row>
    <row r="104" spans="1:62" x14ac:dyDescent="0.2">
      <c r="C104" s="57" t="s">
        <v>417</v>
      </c>
      <c r="D104" s="58"/>
      <c r="E104" s="58"/>
      <c r="G104" s="16">
        <v>6.75</v>
      </c>
    </row>
    <row r="105" spans="1:62" x14ac:dyDescent="0.2">
      <c r="C105" s="57" t="s">
        <v>418</v>
      </c>
      <c r="D105" s="58"/>
      <c r="E105" s="58"/>
      <c r="G105" s="16">
        <v>167.04</v>
      </c>
    </row>
    <row r="106" spans="1:62" x14ac:dyDescent="0.2">
      <c r="C106" s="57" t="s">
        <v>419</v>
      </c>
      <c r="D106" s="58"/>
      <c r="E106" s="58"/>
      <c r="G106" s="16">
        <v>93.6</v>
      </c>
    </row>
    <row r="107" spans="1:62" x14ac:dyDescent="0.2">
      <c r="C107" s="57" t="s">
        <v>420</v>
      </c>
      <c r="D107" s="58"/>
      <c r="E107" s="58"/>
      <c r="G107" s="16">
        <v>35.28</v>
      </c>
    </row>
    <row r="108" spans="1:62" x14ac:dyDescent="0.2">
      <c r="C108" s="57" t="s">
        <v>421</v>
      </c>
      <c r="D108" s="58"/>
      <c r="E108" s="58"/>
      <c r="G108" s="16">
        <v>3.6</v>
      </c>
    </row>
    <row r="109" spans="1:62" x14ac:dyDescent="0.2">
      <c r="C109" s="57" t="s">
        <v>422</v>
      </c>
      <c r="D109" s="58"/>
      <c r="E109" s="58"/>
      <c r="G109" s="16">
        <v>0.378</v>
      </c>
    </row>
    <row r="110" spans="1:62" x14ac:dyDescent="0.2">
      <c r="C110" s="57" t="s">
        <v>423</v>
      </c>
      <c r="D110" s="58"/>
      <c r="E110" s="58"/>
      <c r="G110" s="16">
        <v>1.35</v>
      </c>
    </row>
    <row r="111" spans="1:62" x14ac:dyDescent="0.2">
      <c r="C111" s="57" t="s">
        <v>424</v>
      </c>
      <c r="D111" s="58"/>
      <c r="E111" s="58"/>
      <c r="G111" s="16">
        <v>79.38</v>
      </c>
    </row>
    <row r="112" spans="1:62" x14ac:dyDescent="0.2">
      <c r="C112" s="57" t="s">
        <v>425</v>
      </c>
      <c r="D112" s="58"/>
      <c r="E112" s="58"/>
      <c r="G112" s="16">
        <v>2.88</v>
      </c>
    </row>
    <row r="113" spans="1:62" x14ac:dyDescent="0.2">
      <c r="C113" s="57" t="s">
        <v>426</v>
      </c>
      <c r="D113" s="58"/>
      <c r="E113" s="58"/>
      <c r="G113" s="16">
        <v>24.48</v>
      </c>
    </row>
    <row r="114" spans="1:62" x14ac:dyDescent="0.2">
      <c r="C114" s="57" t="s">
        <v>427</v>
      </c>
      <c r="D114" s="58"/>
      <c r="E114" s="58"/>
      <c r="G114" s="16">
        <v>0.72</v>
      </c>
    </row>
    <row r="115" spans="1:62" x14ac:dyDescent="0.2">
      <c r="C115" s="57" t="s">
        <v>428</v>
      </c>
      <c r="D115" s="58"/>
      <c r="E115" s="58"/>
      <c r="G115" s="16">
        <v>2.16</v>
      </c>
    </row>
    <row r="116" spans="1:62" x14ac:dyDescent="0.2">
      <c r="C116" s="57" t="s">
        <v>429</v>
      </c>
      <c r="D116" s="58"/>
      <c r="E116" s="58"/>
      <c r="G116" s="16">
        <v>0.96</v>
      </c>
    </row>
    <row r="117" spans="1:62" x14ac:dyDescent="0.2">
      <c r="A117" s="4" t="s">
        <v>32</v>
      </c>
      <c r="B117" s="4" t="s">
        <v>185</v>
      </c>
      <c r="C117" s="59" t="s">
        <v>430</v>
      </c>
      <c r="D117" s="60"/>
      <c r="E117" s="60"/>
      <c r="F117" s="4" t="s">
        <v>817</v>
      </c>
      <c r="G117" s="15">
        <v>118.16800000000001</v>
      </c>
      <c r="H117" s="15">
        <v>0</v>
      </c>
      <c r="I117" s="15">
        <f>G117*AO117</f>
        <v>0</v>
      </c>
      <c r="J117" s="15">
        <f>G117*AP117</f>
        <v>0</v>
      </c>
      <c r="K117" s="15">
        <f>G117*H117</f>
        <v>0</v>
      </c>
      <c r="L117" s="27" t="s">
        <v>839</v>
      </c>
      <c r="Z117" s="32">
        <f>IF(AQ117="5",BJ117,0)</f>
        <v>0</v>
      </c>
      <c r="AB117" s="32">
        <f>IF(AQ117="1",BH117,0)</f>
        <v>0</v>
      </c>
      <c r="AC117" s="32">
        <f>IF(AQ117="1",BI117,0)</f>
        <v>0</v>
      </c>
      <c r="AD117" s="32">
        <f>IF(AQ117="7",BH117,0)</f>
        <v>0</v>
      </c>
      <c r="AE117" s="32">
        <f>IF(AQ117="7",BI117,0)</f>
        <v>0</v>
      </c>
      <c r="AF117" s="32">
        <f>IF(AQ117="2",BH117,0)</f>
        <v>0</v>
      </c>
      <c r="AG117" s="32">
        <f>IF(AQ117="2",BI117,0)</f>
        <v>0</v>
      </c>
      <c r="AH117" s="32">
        <f>IF(AQ117="0",BJ117,0)</f>
        <v>0</v>
      </c>
      <c r="AI117" s="28"/>
      <c r="AJ117" s="15">
        <f>IF(AN117=0,K117,0)</f>
        <v>0</v>
      </c>
      <c r="AK117" s="15">
        <f>IF(AN117=15,K117,0)</f>
        <v>0</v>
      </c>
      <c r="AL117" s="15">
        <f>IF(AN117=21,K117,0)</f>
        <v>0</v>
      </c>
      <c r="AN117" s="32">
        <v>21</v>
      </c>
      <c r="AO117" s="32">
        <f>H117*0.543139690897736</f>
        <v>0</v>
      </c>
      <c r="AP117" s="32">
        <f>H117*(1-0.543139690897736)</f>
        <v>0</v>
      </c>
      <c r="AQ117" s="27" t="s">
        <v>7</v>
      </c>
      <c r="AV117" s="32">
        <f>AW117+AX117</f>
        <v>0</v>
      </c>
      <c r="AW117" s="32">
        <f>G117*AO117</f>
        <v>0</v>
      </c>
      <c r="AX117" s="32">
        <f>G117*AP117</f>
        <v>0</v>
      </c>
      <c r="AY117" s="33" t="s">
        <v>862</v>
      </c>
      <c r="AZ117" s="33" t="s">
        <v>885</v>
      </c>
      <c r="BA117" s="28" t="s">
        <v>891</v>
      </c>
      <c r="BC117" s="32">
        <f>AW117+AX117</f>
        <v>0</v>
      </c>
      <c r="BD117" s="32">
        <f>H117/(100-BE117)*100</f>
        <v>0</v>
      </c>
      <c r="BE117" s="32">
        <v>0</v>
      </c>
      <c r="BF117" s="32">
        <f>117</f>
        <v>117</v>
      </c>
      <c r="BH117" s="15">
        <f>G117*AO117</f>
        <v>0</v>
      </c>
      <c r="BI117" s="15">
        <f>G117*AP117</f>
        <v>0</v>
      </c>
      <c r="BJ117" s="15">
        <f>G117*H117</f>
        <v>0</v>
      </c>
    </row>
    <row r="118" spans="1:62" x14ac:dyDescent="0.2">
      <c r="C118" s="57" t="s">
        <v>431</v>
      </c>
      <c r="D118" s="58"/>
      <c r="E118" s="58"/>
      <c r="G118" s="16">
        <v>61.38</v>
      </c>
    </row>
    <row r="119" spans="1:62" x14ac:dyDescent="0.2">
      <c r="C119" s="57" t="s">
        <v>432</v>
      </c>
      <c r="D119" s="58"/>
      <c r="E119" s="58"/>
      <c r="G119" s="16">
        <v>25.468</v>
      </c>
    </row>
    <row r="120" spans="1:62" x14ac:dyDescent="0.2">
      <c r="C120" s="57" t="s">
        <v>433</v>
      </c>
      <c r="D120" s="58"/>
      <c r="E120" s="58"/>
      <c r="G120" s="16">
        <v>26.2</v>
      </c>
    </row>
    <row r="121" spans="1:62" x14ac:dyDescent="0.2">
      <c r="C121" s="57" t="s">
        <v>434</v>
      </c>
      <c r="D121" s="58"/>
      <c r="E121" s="58"/>
      <c r="G121" s="16">
        <v>5.12</v>
      </c>
    </row>
    <row r="122" spans="1:62" x14ac:dyDescent="0.2">
      <c r="C122" s="57" t="s">
        <v>435</v>
      </c>
      <c r="D122" s="58"/>
      <c r="E122" s="58"/>
      <c r="G122" s="16">
        <v>0</v>
      </c>
    </row>
    <row r="123" spans="1:62" x14ac:dyDescent="0.2">
      <c r="A123" s="4" t="s">
        <v>33</v>
      </c>
      <c r="B123" s="4" t="s">
        <v>186</v>
      </c>
      <c r="C123" s="59" t="s">
        <v>436</v>
      </c>
      <c r="D123" s="60"/>
      <c r="E123" s="60"/>
      <c r="F123" s="4" t="s">
        <v>816</v>
      </c>
      <c r="G123" s="15">
        <v>241.7</v>
      </c>
      <c r="H123" s="15">
        <v>0</v>
      </c>
      <c r="I123" s="15">
        <f>G123*AO123</f>
        <v>0</v>
      </c>
      <c r="J123" s="15">
        <f>G123*AP123</f>
        <v>0</v>
      </c>
      <c r="K123" s="15">
        <f>G123*H123</f>
        <v>0</v>
      </c>
      <c r="L123" s="27" t="s">
        <v>839</v>
      </c>
      <c r="Z123" s="32">
        <f>IF(AQ123="5",BJ123,0)</f>
        <v>0</v>
      </c>
      <c r="AB123" s="32">
        <f>IF(AQ123="1",BH123,0)</f>
        <v>0</v>
      </c>
      <c r="AC123" s="32">
        <f>IF(AQ123="1",BI123,0)</f>
        <v>0</v>
      </c>
      <c r="AD123" s="32">
        <f>IF(AQ123="7",BH123,0)</f>
        <v>0</v>
      </c>
      <c r="AE123" s="32">
        <f>IF(AQ123="7",BI123,0)</f>
        <v>0</v>
      </c>
      <c r="AF123" s="32">
        <f>IF(AQ123="2",BH123,0)</f>
        <v>0</v>
      </c>
      <c r="AG123" s="32">
        <f>IF(AQ123="2",BI123,0)</f>
        <v>0</v>
      </c>
      <c r="AH123" s="32">
        <f>IF(AQ123="0",BJ123,0)</f>
        <v>0</v>
      </c>
      <c r="AI123" s="28"/>
      <c r="AJ123" s="15">
        <f>IF(AN123=0,K123,0)</f>
        <v>0</v>
      </c>
      <c r="AK123" s="15">
        <f>IF(AN123=15,K123,0)</f>
        <v>0</v>
      </c>
      <c r="AL123" s="15">
        <f>IF(AN123=21,K123,0)</f>
        <v>0</v>
      </c>
      <c r="AN123" s="32">
        <v>21</v>
      </c>
      <c r="AO123" s="32">
        <f>H123*0</f>
        <v>0</v>
      </c>
      <c r="AP123" s="32">
        <f>H123*(1-0)</f>
        <v>0</v>
      </c>
      <c r="AQ123" s="27" t="s">
        <v>7</v>
      </c>
      <c r="AV123" s="32">
        <f>AW123+AX123</f>
        <v>0</v>
      </c>
      <c r="AW123" s="32">
        <f>G123*AO123</f>
        <v>0</v>
      </c>
      <c r="AX123" s="32">
        <f>G123*AP123</f>
        <v>0</v>
      </c>
      <c r="AY123" s="33" t="s">
        <v>862</v>
      </c>
      <c r="AZ123" s="33" t="s">
        <v>885</v>
      </c>
      <c r="BA123" s="28" t="s">
        <v>891</v>
      </c>
      <c r="BC123" s="32">
        <f>AW123+AX123</f>
        <v>0</v>
      </c>
      <c r="BD123" s="32">
        <f>H123/(100-BE123)*100</f>
        <v>0</v>
      </c>
      <c r="BE123" s="32">
        <v>0</v>
      </c>
      <c r="BF123" s="32">
        <f>123</f>
        <v>123</v>
      </c>
      <c r="BH123" s="15">
        <f>G123*AO123</f>
        <v>0</v>
      </c>
      <c r="BI123" s="15">
        <f>G123*AP123</f>
        <v>0</v>
      </c>
      <c r="BJ123" s="15">
        <f>G123*H123</f>
        <v>0</v>
      </c>
    </row>
    <row r="124" spans="1:62" x14ac:dyDescent="0.2">
      <c r="C124" s="57" t="s">
        <v>437</v>
      </c>
      <c r="D124" s="58"/>
      <c r="E124" s="58"/>
      <c r="G124" s="16">
        <v>185.8</v>
      </c>
    </row>
    <row r="125" spans="1:62" x14ac:dyDescent="0.2">
      <c r="C125" s="57" t="s">
        <v>438</v>
      </c>
      <c r="D125" s="58"/>
      <c r="E125" s="58"/>
      <c r="G125" s="16">
        <v>55.9</v>
      </c>
    </row>
    <row r="126" spans="1:62" x14ac:dyDescent="0.2">
      <c r="A126" s="6" t="s">
        <v>34</v>
      </c>
      <c r="B126" s="6" t="s">
        <v>187</v>
      </c>
      <c r="C126" s="67" t="s">
        <v>439</v>
      </c>
      <c r="D126" s="68"/>
      <c r="E126" s="68"/>
      <c r="F126" s="6" t="s">
        <v>816</v>
      </c>
      <c r="G126" s="17">
        <v>185.5</v>
      </c>
      <c r="H126" s="17">
        <v>0</v>
      </c>
      <c r="I126" s="17">
        <f>G126*AO126</f>
        <v>0</v>
      </c>
      <c r="J126" s="17">
        <f>G126*AP126</f>
        <v>0</v>
      </c>
      <c r="K126" s="17">
        <f>G126*H126</f>
        <v>0</v>
      </c>
      <c r="L126" s="29" t="s">
        <v>839</v>
      </c>
      <c r="Z126" s="32">
        <f>IF(AQ126="5",BJ126,0)</f>
        <v>0</v>
      </c>
      <c r="AB126" s="32">
        <f>IF(AQ126="1",BH126,0)</f>
        <v>0</v>
      </c>
      <c r="AC126" s="32">
        <f>IF(AQ126="1",BI126,0)</f>
        <v>0</v>
      </c>
      <c r="AD126" s="32">
        <f>IF(AQ126="7",BH126,0)</f>
        <v>0</v>
      </c>
      <c r="AE126" s="32">
        <f>IF(AQ126="7",BI126,0)</f>
        <v>0</v>
      </c>
      <c r="AF126" s="32">
        <f>IF(AQ126="2",BH126,0)</f>
        <v>0</v>
      </c>
      <c r="AG126" s="32">
        <f>IF(AQ126="2",BI126,0)</f>
        <v>0</v>
      </c>
      <c r="AH126" s="32">
        <f>IF(AQ126="0",BJ126,0)</f>
        <v>0</v>
      </c>
      <c r="AI126" s="28"/>
      <c r="AJ126" s="17">
        <f>IF(AN126=0,K126,0)</f>
        <v>0</v>
      </c>
      <c r="AK126" s="17">
        <f>IF(AN126=15,K126,0)</f>
        <v>0</v>
      </c>
      <c r="AL126" s="17">
        <f>IF(AN126=21,K126,0)</f>
        <v>0</v>
      </c>
      <c r="AN126" s="32">
        <v>21</v>
      </c>
      <c r="AO126" s="32">
        <f>H126*1</f>
        <v>0</v>
      </c>
      <c r="AP126" s="32">
        <f>H126*(1-1)</f>
        <v>0</v>
      </c>
      <c r="AQ126" s="29" t="s">
        <v>7</v>
      </c>
      <c r="AV126" s="32">
        <f>AW126+AX126</f>
        <v>0</v>
      </c>
      <c r="AW126" s="32">
        <f>G126*AO126</f>
        <v>0</v>
      </c>
      <c r="AX126" s="32">
        <f>G126*AP126</f>
        <v>0</v>
      </c>
      <c r="AY126" s="33" t="s">
        <v>862</v>
      </c>
      <c r="AZ126" s="33" t="s">
        <v>885</v>
      </c>
      <c r="BA126" s="28" t="s">
        <v>891</v>
      </c>
      <c r="BC126" s="32">
        <f>AW126+AX126</f>
        <v>0</v>
      </c>
      <c r="BD126" s="32">
        <f>H126/(100-BE126)*100</f>
        <v>0</v>
      </c>
      <c r="BE126" s="32">
        <v>0</v>
      </c>
      <c r="BF126" s="32">
        <f>126</f>
        <v>126</v>
      </c>
      <c r="BH126" s="17">
        <f>G126*AO126</f>
        <v>0</v>
      </c>
      <c r="BI126" s="17">
        <f>G126*AP126</f>
        <v>0</v>
      </c>
      <c r="BJ126" s="17">
        <f>G126*H126</f>
        <v>0</v>
      </c>
    </row>
    <row r="127" spans="1:62" x14ac:dyDescent="0.2">
      <c r="C127" s="57" t="s">
        <v>440</v>
      </c>
      <c r="D127" s="58"/>
      <c r="E127" s="58"/>
      <c r="G127" s="16">
        <v>6</v>
      </c>
    </row>
    <row r="128" spans="1:62" x14ac:dyDescent="0.2">
      <c r="C128" s="57" t="s">
        <v>441</v>
      </c>
      <c r="D128" s="58"/>
      <c r="E128" s="58"/>
      <c r="G128" s="16">
        <v>4.5</v>
      </c>
    </row>
    <row r="129" spans="1:62" x14ac:dyDescent="0.2">
      <c r="C129" s="57" t="s">
        <v>442</v>
      </c>
      <c r="D129" s="58"/>
      <c r="E129" s="58"/>
      <c r="G129" s="16">
        <v>69.599999999999994</v>
      </c>
    </row>
    <row r="130" spans="1:62" x14ac:dyDescent="0.2">
      <c r="C130" s="57" t="s">
        <v>443</v>
      </c>
      <c r="D130" s="58"/>
      <c r="E130" s="58"/>
      <c r="G130" s="16">
        <v>39</v>
      </c>
    </row>
    <row r="131" spans="1:62" x14ac:dyDescent="0.2">
      <c r="C131" s="57" t="s">
        <v>444</v>
      </c>
      <c r="D131" s="58"/>
      <c r="E131" s="58"/>
      <c r="G131" s="16">
        <v>16.8</v>
      </c>
    </row>
    <row r="132" spans="1:62" x14ac:dyDescent="0.2">
      <c r="C132" s="57" t="s">
        <v>445</v>
      </c>
      <c r="D132" s="58"/>
      <c r="E132" s="58"/>
      <c r="G132" s="16">
        <v>1.8</v>
      </c>
    </row>
    <row r="133" spans="1:62" x14ac:dyDescent="0.2">
      <c r="C133" s="57" t="s">
        <v>446</v>
      </c>
      <c r="D133" s="58"/>
      <c r="E133" s="58"/>
      <c r="G133" s="16">
        <v>0.6</v>
      </c>
    </row>
    <row r="134" spans="1:62" x14ac:dyDescent="0.2">
      <c r="C134" s="57" t="s">
        <v>447</v>
      </c>
      <c r="D134" s="58"/>
      <c r="E134" s="58"/>
      <c r="G134" s="16">
        <v>0.9</v>
      </c>
    </row>
    <row r="135" spans="1:62" x14ac:dyDescent="0.2">
      <c r="C135" s="57" t="s">
        <v>448</v>
      </c>
      <c r="D135" s="58"/>
      <c r="E135" s="58"/>
      <c r="G135" s="16">
        <v>37.799999999999997</v>
      </c>
    </row>
    <row r="136" spans="1:62" x14ac:dyDescent="0.2">
      <c r="C136" s="57" t="s">
        <v>449</v>
      </c>
      <c r="D136" s="58"/>
      <c r="E136" s="58"/>
      <c r="G136" s="16">
        <v>1.2</v>
      </c>
    </row>
    <row r="137" spans="1:62" x14ac:dyDescent="0.2">
      <c r="C137" s="57" t="s">
        <v>450</v>
      </c>
      <c r="D137" s="58"/>
      <c r="E137" s="58"/>
      <c r="G137" s="16">
        <v>3.6</v>
      </c>
    </row>
    <row r="138" spans="1:62" x14ac:dyDescent="0.2">
      <c r="C138" s="57" t="s">
        <v>449</v>
      </c>
      <c r="D138" s="58"/>
      <c r="E138" s="58"/>
      <c r="G138" s="16">
        <v>1.2</v>
      </c>
    </row>
    <row r="139" spans="1:62" x14ac:dyDescent="0.2">
      <c r="C139" s="57" t="s">
        <v>447</v>
      </c>
      <c r="D139" s="58"/>
      <c r="E139" s="58"/>
      <c r="G139" s="16">
        <v>0.9</v>
      </c>
    </row>
    <row r="140" spans="1:62" x14ac:dyDescent="0.2">
      <c r="C140" s="57" t="s">
        <v>451</v>
      </c>
      <c r="D140" s="58"/>
      <c r="E140" s="58"/>
      <c r="G140" s="16">
        <v>1.6</v>
      </c>
    </row>
    <row r="141" spans="1:62" x14ac:dyDescent="0.2">
      <c r="A141" s="6" t="s">
        <v>35</v>
      </c>
      <c r="B141" s="6" t="s">
        <v>188</v>
      </c>
      <c r="C141" s="67" t="s">
        <v>452</v>
      </c>
      <c r="D141" s="68"/>
      <c r="E141" s="68"/>
      <c r="F141" s="6" t="s">
        <v>816</v>
      </c>
      <c r="G141" s="17">
        <v>185.8</v>
      </c>
      <c r="H141" s="17">
        <v>0</v>
      </c>
      <c r="I141" s="17">
        <f>G141*AO141</f>
        <v>0</v>
      </c>
      <c r="J141" s="17">
        <f>G141*AP141</f>
        <v>0</v>
      </c>
      <c r="K141" s="17">
        <f>G141*H141</f>
        <v>0</v>
      </c>
      <c r="L141" s="29" t="s">
        <v>839</v>
      </c>
      <c r="Z141" s="32">
        <f>IF(AQ141="5",BJ141,0)</f>
        <v>0</v>
      </c>
      <c r="AB141" s="32">
        <f>IF(AQ141="1",BH141,0)</f>
        <v>0</v>
      </c>
      <c r="AC141" s="32">
        <f>IF(AQ141="1",BI141,0)</f>
        <v>0</v>
      </c>
      <c r="AD141" s="32">
        <f>IF(AQ141="7",BH141,0)</f>
        <v>0</v>
      </c>
      <c r="AE141" s="32">
        <f>IF(AQ141="7",BI141,0)</f>
        <v>0</v>
      </c>
      <c r="AF141" s="32">
        <f>IF(AQ141="2",BH141,0)</f>
        <v>0</v>
      </c>
      <c r="AG141" s="32">
        <f>IF(AQ141="2",BI141,0)</f>
        <v>0</v>
      </c>
      <c r="AH141" s="32">
        <f>IF(AQ141="0",BJ141,0)</f>
        <v>0</v>
      </c>
      <c r="AI141" s="28"/>
      <c r="AJ141" s="17">
        <f>IF(AN141=0,K141,0)</f>
        <v>0</v>
      </c>
      <c r="AK141" s="17">
        <f>IF(AN141=15,K141,0)</f>
        <v>0</v>
      </c>
      <c r="AL141" s="17">
        <f>IF(AN141=21,K141,0)</f>
        <v>0</v>
      </c>
      <c r="AN141" s="32">
        <v>21</v>
      </c>
      <c r="AO141" s="32">
        <f>H141*1</f>
        <v>0</v>
      </c>
      <c r="AP141" s="32">
        <f>H141*(1-1)</f>
        <v>0</v>
      </c>
      <c r="AQ141" s="29" t="s">
        <v>7</v>
      </c>
      <c r="AV141" s="32">
        <f>AW141+AX141</f>
        <v>0</v>
      </c>
      <c r="AW141" s="32">
        <f>G141*AO141</f>
        <v>0</v>
      </c>
      <c r="AX141" s="32">
        <f>G141*AP141</f>
        <v>0</v>
      </c>
      <c r="AY141" s="33" t="s">
        <v>862</v>
      </c>
      <c r="AZ141" s="33" t="s">
        <v>885</v>
      </c>
      <c r="BA141" s="28" t="s">
        <v>891</v>
      </c>
      <c r="BC141" s="32">
        <f>AW141+AX141</f>
        <v>0</v>
      </c>
      <c r="BD141" s="32">
        <f>H141/(100-BE141)*100</f>
        <v>0</v>
      </c>
      <c r="BE141" s="32">
        <v>0</v>
      </c>
      <c r="BF141" s="32">
        <f>141</f>
        <v>141</v>
      </c>
      <c r="BH141" s="17">
        <f>G141*AO141</f>
        <v>0</v>
      </c>
      <c r="BI141" s="17">
        <f>G141*AP141</f>
        <v>0</v>
      </c>
      <c r="BJ141" s="17">
        <f>G141*H141</f>
        <v>0</v>
      </c>
    </row>
    <row r="142" spans="1:62" x14ac:dyDescent="0.2">
      <c r="C142" s="57" t="s">
        <v>453</v>
      </c>
      <c r="D142" s="58"/>
      <c r="E142" s="58"/>
      <c r="G142" s="16">
        <v>185.8</v>
      </c>
    </row>
    <row r="143" spans="1:62" x14ac:dyDescent="0.2">
      <c r="A143" s="4" t="s">
        <v>36</v>
      </c>
      <c r="B143" s="4" t="s">
        <v>189</v>
      </c>
      <c r="C143" s="59" t="s">
        <v>454</v>
      </c>
      <c r="D143" s="60"/>
      <c r="E143" s="60"/>
      <c r="F143" s="4" t="s">
        <v>816</v>
      </c>
      <c r="G143" s="15">
        <v>391.8</v>
      </c>
      <c r="H143" s="15">
        <v>0</v>
      </c>
      <c r="I143" s="15">
        <f>G143*AO143</f>
        <v>0</v>
      </c>
      <c r="J143" s="15">
        <f>G143*AP143</f>
        <v>0</v>
      </c>
      <c r="K143" s="15">
        <f>G143*H143</f>
        <v>0</v>
      </c>
      <c r="L143" s="27" t="s">
        <v>839</v>
      </c>
      <c r="Z143" s="32">
        <f>IF(AQ143="5",BJ143,0)</f>
        <v>0</v>
      </c>
      <c r="AB143" s="32">
        <f>IF(AQ143="1",BH143,0)</f>
        <v>0</v>
      </c>
      <c r="AC143" s="32">
        <f>IF(AQ143="1",BI143,0)</f>
        <v>0</v>
      </c>
      <c r="AD143" s="32">
        <f>IF(AQ143="7",BH143,0)</f>
        <v>0</v>
      </c>
      <c r="AE143" s="32">
        <f>IF(AQ143="7",BI143,0)</f>
        <v>0</v>
      </c>
      <c r="AF143" s="32">
        <f>IF(AQ143="2",BH143,0)</f>
        <v>0</v>
      </c>
      <c r="AG143" s="32">
        <f>IF(AQ143="2",BI143,0)</f>
        <v>0</v>
      </c>
      <c r="AH143" s="32">
        <f>IF(AQ143="0",BJ143,0)</f>
        <v>0</v>
      </c>
      <c r="AI143" s="28"/>
      <c r="AJ143" s="15">
        <f>IF(AN143=0,K143,0)</f>
        <v>0</v>
      </c>
      <c r="AK143" s="15">
        <f>IF(AN143=15,K143,0)</f>
        <v>0</v>
      </c>
      <c r="AL143" s="15">
        <f>IF(AN143=21,K143,0)</f>
        <v>0</v>
      </c>
      <c r="AN143" s="32">
        <v>21</v>
      </c>
      <c r="AO143" s="32">
        <f>H143*0</f>
        <v>0</v>
      </c>
      <c r="AP143" s="32">
        <f>H143*(1-0)</f>
        <v>0</v>
      </c>
      <c r="AQ143" s="27" t="s">
        <v>7</v>
      </c>
      <c r="AV143" s="32">
        <f>AW143+AX143</f>
        <v>0</v>
      </c>
      <c r="AW143" s="32">
        <f>G143*AO143</f>
        <v>0</v>
      </c>
      <c r="AX143" s="32">
        <f>G143*AP143</f>
        <v>0</v>
      </c>
      <c r="AY143" s="33" t="s">
        <v>862</v>
      </c>
      <c r="AZ143" s="33" t="s">
        <v>885</v>
      </c>
      <c r="BA143" s="28" t="s">
        <v>891</v>
      </c>
      <c r="BC143" s="32">
        <f>AW143+AX143</f>
        <v>0</v>
      </c>
      <c r="BD143" s="32">
        <f>H143/(100-BE143)*100</f>
        <v>0</v>
      </c>
      <c r="BE143" s="32">
        <v>0</v>
      </c>
      <c r="BF143" s="32">
        <f>143</f>
        <v>143</v>
      </c>
      <c r="BH143" s="15">
        <f>G143*AO143</f>
        <v>0</v>
      </c>
      <c r="BI143" s="15">
        <f>G143*AP143</f>
        <v>0</v>
      </c>
      <c r="BJ143" s="15">
        <f>G143*H143</f>
        <v>0</v>
      </c>
    </row>
    <row r="144" spans="1:62" x14ac:dyDescent="0.2">
      <c r="C144" s="57" t="s">
        <v>455</v>
      </c>
      <c r="D144" s="58"/>
      <c r="E144" s="58"/>
      <c r="G144" s="16">
        <v>391.8</v>
      </c>
    </row>
    <row r="145" spans="1:62" x14ac:dyDescent="0.2">
      <c r="A145" s="6" t="s">
        <v>37</v>
      </c>
      <c r="B145" s="6" t="s">
        <v>190</v>
      </c>
      <c r="C145" s="67" t="s">
        <v>456</v>
      </c>
      <c r="D145" s="68"/>
      <c r="E145" s="68"/>
      <c r="F145" s="6" t="s">
        <v>816</v>
      </c>
      <c r="G145" s="17">
        <v>391.8</v>
      </c>
      <c r="H145" s="17">
        <v>0</v>
      </c>
      <c r="I145" s="17">
        <f>G145*AO145</f>
        <v>0</v>
      </c>
      <c r="J145" s="17">
        <f>G145*AP145</f>
        <v>0</v>
      </c>
      <c r="K145" s="17">
        <f>G145*H145</f>
        <v>0</v>
      </c>
      <c r="L145" s="29" t="s">
        <v>839</v>
      </c>
      <c r="Z145" s="32">
        <f>IF(AQ145="5",BJ145,0)</f>
        <v>0</v>
      </c>
      <c r="AB145" s="32">
        <f>IF(AQ145="1",BH145,0)</f>
        <v>0</v>
      </c>
      <c r="AC145" s="32">
        <f>IF(AQ145="1",BI145,0)</f>
        <v>0</v>
      </c>
      <c r="AD145" s="32">
        <f>IF(AQ145="7",BH145,0)</f>
        <v>0</v>
      </c>
      <c r="AE145" s="32">
        <f>IF(AQ145="7",BI145,0)</f>
        <v>0</v>
      </c>
      <c r="AF145" s="32">
        <f>IF(AQ145="2",BH145,0)</f>
        <v>0</v>
      </c>
      <c r="AG145" s="32">
        <f>IF(AQ145="2",BI145,0)</f>
        <v>0</v>
      </c>
      <c r="AH145" s="32">
        <f>IF(AQ145="0",BJ145,0)</f>
        <v>0</v>
      </c>
      <c r="AI145" s="28"/>
      <c r="AJ145" s="17">
        <f>IF(AN145=0,K145,0)</f>
        <v>0</v>
      </c>
      <c r="AK145" s="17">
        <f>IF(AN145=15,K145,0)</f>
        <v>0</v>
      </c>
      <c r="AL145" s="17">
        <f>IF(AN145=21,K145,0)</f>
        <v>0</v>
      </c>
      <c r="AN145" s="32">
        <v>21</v>
      </c>
      <c r="AO145" s="32">
        <f>H145*1</f>
        <v>0</v>
      </c>
      <c r="AP145" s="32">
        <f>H145*(1-1)</f>
        <v>0</v>
      </c>
      <c r="AQ145" s="29" t="s">
        <v>7</v>
      </c>
      <c r="AV145" s="32">
        <f>AW145+AX145</f>
        <v>0</v>
      </c>
      <c r="AW145" s="32">
        <f>G145*AO145</f>
        <v>0</v>
      </c>
      <c r="AX145" s="32">
        <f>G145*AP145</f>
        <v>0</v>
      </c>
      <c r="AY145" s="33" t="s">
        <v>862</v>
      </c>
      <c r="AZ145" s="33" t="s">
        <v>885</v>
      </c>
      <c r="BA145" s="28" t="s">
        <v>891</v>
      </c>
      <c r="BC145" s="32">
        <f>AW145+AX145</f>
        <v>0</v>
      </c>
      <c r="BD145" s="32">
        <f>H145/(100-BE145)*100</f>
        <v>0</v>
      </c>
      <c r="BE145" s="32">
        <v>0</v>
      </c>
      <c r="BF145" s="32">
        <f>145</f>
        <v>145</v>
      </c>
      <c r="BH145" s="17">
        <f>G145*AO145</f>
        <v>0</v>
      </c>
      <c r="BI145" s="17">
        <f>G145*AP145</f>
        <v>0</v>
      </c>
      <c r="BJ145" s="17">
        <f>G145*H145</f>
        <v>0</v>
      </c>
    </row>
    <row r="146" spans="1:62" x14ac:dyDescent="0.2">
      <c r="C146" s="57" t="s">
        <v>457</v>
      </c>
      <c r="D146" s="58"/>
      <c r="E146" s="58"/>
      <c r="G146" s="16">
        <v>21</v>
      </c>
    </row>
    <row r="147" spans="1:62" x14ac:dyDescent="0.2">
      <c r="C147" s="57" t="s">
        <v>458</v>
      </c>
      <c r="D147" s="58"/>
      <c r="E147" s="58"/>
      <c r="G147" s="16">
        <v>9</v>
      </c>
    </row>
    <row r="148" spans="1:62" x14ac:dyDescent="0.2">
      <c r="C148" s="57" t="s">
        <v>459</v>
      </c>
      <c r="D148" s="58"/>
      <c r="E148" s="58"/>
      <c r="G148" s="16">
        <v>139.19999999999999</v>
      </c>
    </row>
    <row r="149" spans="1:62" x14ac:dyDescent="0.2">
      <c r="C149" s="57" t="s">
        <v>460</v>
      </c>
      <c r="D149" s="58"/>
      <c r="E149" s="58"/>
      <c r="G149" s="16">
        <v>124.8</v>
      </c>
    </row>
    <row r="150" spans="1:62" x14ac:dyDescent="0.2">
      <c r="C150" s="57" t="s">
        <v>461</v>
      </c>
      <c r="D150" s="58"/>
      <c r="E150" s="58"/>
      <c r="G150" s="16">
        <v>29.4</v>
      </c>
    </row>
    <row r="151" spans="1:62" x14ac:dyDescent="0.2">
      <c r="C151" s="57" t="s">
        <v>462</v>
      </c>
      <c r="D151" s="58"/>
      <c r="E151" s="58"/>
      <c r="G151" s="16">
        <v>8</v>
      </c>
    </row>
    <row r="152" spans="1:62" x14ac:dyDescent="0.2">
      <c r="C152" s="57" t="s">
        <v>463</v>
      </c>
      <c r="D152" s="58"/>
      <c r="E152" s="58"/>
      <c r="G152" s="16">
        <v>1.2</v>
      </c>
    </row>
    <row r="153" spans="1:62" x14ac:dyDescent="0.2">
      <c r="C153" s="57" t="s">
        <v>464</v>
      </c>
      <c r="D153" s="58"/>
      <c r="E153" s="58"/>
      <c r="G153" s="16">
        <v>3</v>
      </c>
    </row>
    <row r="154" spans="1:62" x14ac:dyDescent="0.2">
      <c r="C154" s="57" t="s">
        <v>461</v>
      </c>
      <c r="D154" s="58"/>
      <c r="E154" s="58"/>
      <c r="G154" s="16">
        <v>29.4</v>
      </c>
    </row>
    <row r="155" spans="1:62" x14ac:dyDescent="0.2">
      <c r="C155" s="57" t="s">
        <v>465</v>
      </c>
      <c r="D155" s="58"/>
      <c r="E155" s="58"/>
      <c r="G155" s="16">
        <v>4.8</v>
      </c>
    </row>
    <row r="156" spans="1:62" x14ac:dyDescent="0.2">
      <c r="C156" s="57" t="s">
        <v>466</v>
      </c>
      <c r="D156" s="58"/>
      <c r="E156" s="58"/>
      <c r="G156" s="16">
        <v>13.6</v>
      </c>
    </row>
    <row r="157" spans="1:62" x14ac:dyDescent="0.2">
      <c r="C157" s="57" t="s">
        <v>463</v>
      </c>
      <c r="D157" s="58"/>
      <c r="E157" s="58"/>
      <c r="G157" s="16">
        <v>1.2</v>
      </c>
    </row>
    <row r="158" spans="1:62" x14ac:dyDescent="0.2">
      <c r="C158" s="57" t="s">
        <v>465</v>
      </c>
      <c r="D158" s="58"/>
      <c r="E158" s="58"/>
      <c r="G158" s="16">
        <v>4.8</v>
      </c>
    </row>
    <row r="159" spans="1:62" x14ac:dyDescent="0.2">
      <c r="C159" s="57" t="s">
        <v>467</v>
      </c>
      <c r="D159" s="58"/>
      <c r="E159" s="58"/>
      <c r="G159" s="16">
        <v>2.4</v>
      </c>
    </row>
    <row r="160" spans="1:62" x14ac:dyDescent="0.2">
      <c r="A160" s="4" t="s">
        <v>38</v>
      </c>
      <c r="B160" s="4" t="s">
        <v>191</v>
      </c>
      <c r="C160" s="59" t="s">
        <v>468</v>
      </c>
      <c r="D160" s="60"/>
      <c r="E160" s="60"/>
      <c r="F160" s="4" t="s">
        <v>816</v>
      </c>
      <c r="G160" s="15">
        <v>577.29999999999995</v>
      </c>
      <c r="H160" s="15">
        <v>0</v>
      </c>
      <c r="I160" s="15">
        <f>G160*AO160</f>
        <v>0</v>
      </c>
      <c r="J160" s="15">
        <f>G160*AP160</f>
        <v>0</v>
      </c>
      <c r="K160" s="15">
        <f>G160*H160</f>
        <v>0</v>
      </c>
      <c r="L160" s="27" t="s">
        <v>839</v>
      </c>
      <c r="Z160" s="32">
        <f>IF(AQ160="5",BJ160,0)</f>
        <v>0</v>
      </c>
      <c r="AB160" s="32">
        <f>IF(AQ160="1",BH160,0)</f>
        <v>0</v>
      </c>
      <c r="AC160" s="32">
        <f>IF(AQ160="1",BI160,0)</f>
        <v>0</v>
      </c>
      <c r="AD160" s="32">
        <f>IF(AQ160="7",BH160,0)</f>
        <v>0</v>
      </c>
      <c r="AE160" s="32">
        <f>IF(AQ160="7",BI160,0)</f>
        <v>0</v>
      </c>
      <c r="AF160" s="32">
        <f>IF(AQ160="2",BH160,0)</f>
        <v>0</v>
      </c>
      <c r="AG160" s="32">
        <f>IF(AQ160="2",BI160,0)</f>
        <v>0</v>
      </c>
      <c r="AH160" s="32">
        <f>IF(AQ160="0",BJ160,0)</f>
        <v>0</v>
      </c>
      <c r="AI160" s="28"/>
      <c r="AJ160" s="15">
        <f>IF(AN160=0,K160,0)</f>
        <v>0</v>
      </c>
      <c r="AK160" s="15">
        <f>IF(AN160=15,K160,0)</f>
        <v>0</v>
      </c>
      <c r="AL160" s="15">
        <f>IF(AN160=21,K160,0)</f>
        <v>0</v>
      </c>
      <c r="AN160" s="32">
        <v>21</v>
      </c>
      <c r="AO160" s="32">
        <f>H160*0.423800383877159</f>
        <v>0</v>
      </c>
      <c r="AP160" s="32">
        <f>H160*(1-0.423800383877159)</f>
        <v>0</v>
      </c>
      <c r="AQ160" s="27" t="s">
        <v>7</v>
      </c>
      <c r="AV160" s="32">
        <f>AW160+AX160</f>
        <v>0</v>
      </c>
      <c r="AW160" s="32">
        <f>G160*AO160</f>
        <v>0</v>
      </c>
      <c r="AX160" s="32">
        <f>G160*AP160</f>
        <v>0</v>
      </c>
      <c r="AY160" s="33" t="s">
        <v>862</v>
      </c>
      <c r="AZ160" s="33" t="s">
        <v>885</v>
      </c>
      <c r="BA160" s="28" t="s">
        <v>891</v>
      </c>
      <c r="BC160" s="32">
        <f>AW160+AX160</f>
        <v>0</v>
      </c>
      <c r="BD160" s="32">
        <f>H160/(100-BE160)*100</f>
        <v>0</v>
      </c>
      <c r="BE160" s="32">
        <v>0</v>
      </c>
      <c r="BF160" s="32">
        <f>160</f>
        <v>160</v>
      </c>
      <c r="BH160" s="15">
        <f>G160*AO160</f>
        <v>0</v>
      </c>
      <c r="BI160" s="15">
        <f>G160*AP160</f>
        <v>0</v>
      </c>
      <c r="BJ160" s="15">
        <f>G160*H160</f>
        <v>0</v>
      </c>
    </row>
    <row r="161" spans="1:62" x14ac:dyDescent="0.2">
      <c r="C161" s="57" t="s">
        <v>469</v>
      </c>
      <c r="D161" s="58"/>
      <c r="E161" s="58"/>
      <c r="G161" s="16">
        <v>185.5</v>
      </c>
    </row>
    <row r="162" spans="1:62" x14ac:dyDescent="0.2">
      <c r="C162" s="57" t="s">
        <v>470</v>
      </c>
      <c r="D162" s="58"/>
      <c r="E162" s="58"/>
      <c r="G162" s="16">
        <v>391.8</v>
      </c>
    </row>
    <row r="163" spans="1:62" x14ac:dyDescent="0.2">
      <c r="A163" s="4" t="s">
        <v>39</v>
      </c>
      <c r="B163" s="4" t="s">
        <v>192</v>
      </c>
      <c r="C163" s="59" t="s">
        <v>471</v>
      </c>
      <c r="D163" s="60"/>
      <c r="E163" s="60"/>
      <c r="F163" s="4" t="s">
        <v>817</v>
      </c>
      <c r="G163" s="15">
        <v>1515.39</v>
      </c>
      <c r="H163" s="15">
        <v>0</v>
      </c>
      <c r="I163" s="15">
        <f>G163*AO163</f>
        <v>0</v>
      </c>
      <c r="J163" s="15">
        <f>G163*AP163</f>
        <v>0</v>
      </c>
      <c r="K163" s="15">
        <f>G163*H163</f>
        <v>0</v>
      </c>
      <c r="L163" s="27" t="s">
        <v>839</v>
      </c>
      <c r="Z163" s="32">
        <f>IF(AQ163="5",BJ163,0)</f>
        <v>0</v>
      </c>
      <c r="AB163" s="32">
        <f>IF(AQ163="1",BH163,0)</f>
        <v>0</v>
      </c>
      <c r="AC163" s="32">
        <f>IF(AQ163="1",BI163,0)</f>
        <v>0</v>
      </c>
      <c r="AD163" s="32">
        <f>IF(AQ163="7",BH163,0)</f>
        <v>0</v>
      </c>
      <c r="AE163" s="32">
        <f>IF(AQ163="7",BI163,0)</f>
        <v>0</v>
      </c>
      <c r="AF163" s="32">
        <f>IF(AQ163="2",BH163,0)</f>
        <v>0</v>
      </c>
      <c r="AG163" s="32">
        <f>IF(AQ163="2",BI163,0)</f>
        <v>0</v>
      </c>
      <c r="AH163" s="32">
        <f>IF(AQ163="0",BJ163,0)</f>
        <v>0</v>
      </c>
      <c r="AI163" s="28"/>
      <c r="AJ163" s="15">
        <f>IF(AN163=0,K163,0)</f>
        <v>0</v>
      </c>
      <c r="AK163" s="15">
        <f>IF(AN163=15,K163,0)</f>
        <v>0</v>
      </c>
      <c r="AL163" s="15">
        <f>IF(AN163=21,K163,0)</f>
        <v>0</v>
      </c>
      <c r="AN163" s="32">
        <v>21</v>
      </c>
      <c r="AO163" s="32">
        <f>H163*0.0678321662670565</f>
        <v>0</v>
      </c>
      <c r="AP163" s="32">
        <f>H163*(1-0.0678321662670565)</f>
        <v>0</v>
      </c>
      <c r="AQ163" s="27" t="s">
        <v>7</v>
      </c>
      <c r="AV163" s="32">
        <f>AW163+AX163</f>
        <v>0</v>
      </c>
      <c r="AW163" s="32">
        <f>G163*AO163</f>
        <v>0</v>
      </c>
      <c r="AX163" s="32">
        <f>G163*AP163</f>
        <v>0</v>
      </c>
      <c r="AY163" s="33" t="s">
        <v>862</v>
      </c>
      <c r="AZ163" s="33" t="s">
        <v>885</v>
      </c>
      <c r="BA163" s="28" t="s">
        <v>891</v>
      </c>
      <c r="BC163" s="32">
        <f>AW163+AX163</f>
        <v>0</v>
      </c>
      <c r="BD163" s="32">
        <f>H163/(100-BE163)*100</f>
        <v>0</v>
      </c>
      <c r="BE163" s="32">
        <v>0</v>
      </c>
      <c r="BF163" s="32">
        <f>163</f>
        <v>163</v>
      </c>
      <c r="BH163" s="15">
        <f>G163*AO163</f>
        <v>0</v>
      </c>
      <c r="BI163" s="15">
        <f>G163*AP163</f>
        <v>0</v>
      </c>
      <c r="BJ163" s="15">
        <f>G163*H163</f>
        <v>0</v>
      </c>
    </row>
    <row r="164" spans="1:62" x14ac:dyDescent="0.2">
      <c r="C164" s="57" t="s">
        <v>472</v>
      </c>
      <c r="D164" s="58"/>
      <c r="E164" s="58"/>
      <c r="G164" s="16">
        <v>105.75</v>
      </c>
    </row>
    <row r="165" spans="1:62" x14ac:dyDescent="0.2">
      <c r="C165" s="57" t="s">
        <v>473</v>
      </c>
      <c r="D165" s="58"/>
      <c r="E165" s="58"/>
      <c r="G165" s="16">
        <v>207.5</v>
      </c>
    </row>
    <row r="166" spans="1:62" x14ac:dyDescent="0.2">
      <c r="C166" s="57" t="s">
        <v>474</v>
      </c>
      <c r="D166" s="58"/>
      <c r="E166" s="58"/>
      <c r="G166" s="16">
        <v>1028.95</v>
      </c>
    </row>
    <row r="167" spans="1:62" x14ac:dyDescent="0.2">
      <c r="C167" s="57" t="s">
        <v>475</v>
      </c>
      <c r="D167" s="58"/>
      <c r="E167" s="58"/>
      <c r="G167" s="16">
        <v>173.19</v>
      </c>
    </row>
    <row r="168" spans="1:62" x14ac:dyDescent="0.2">
      <c r="A168" s="4" t="s">
        <v>40</v>
      </c>
      <c r="B168" s="4" t="s">
        <v>193</v>
      </c>
      <c r="C168" s="59" t="s">
        <v>476</v>
      </c>
      <c r="D168" s="60"/>
      <c r="E168" s="60"/>
      <c r="F168" s="4" t="s">
        <v>816</v>
      </c>
      <c r="G168" s="15">
        <v>288.5</v>
      </c>
      <c r="H168" s="15">
        <v>0</v>
      </c>
      <c r="I168" s="15">
        <f>G168*AO168</f>
        <v>0</v>
      </c>
      <c r="J168" s="15">
        <f>G168*AP168</f>
        <v>0</v>
      </c>
      <c r="K168" s="15">
        <f>G168*H168</f>
        <v>0</v>
      </c>
      <c r="L168" s="27" t="s">
        <v>839</v>
      </c>
      <c r="Z168" s="32">
        <f>IF(AQ168="5",BJ168,0)</f>
        <v>0</v>
      </c>
      <c r="AB168" s="32">
        <f>IF(AQ168="1",BH168,0)</f>
        <v>0</v>
      </c>
      <c r="AC168" s="32">
        <f>IF(AQ168="1",BI168,0)</f>
        <v>0</v>
      </c>
      <c r="AD168" s="32">
        <f>IF(AQ168="7",BH168,0)</f>
        <v>0</v>
      </c>
      <c r="AE168" s="32">
        <f>IF(AQ168="7",BI168,0)</f>
        <v>0</v>
      </c>
      <c r="AF168" s="32">
        <f>IF(AQ168="2",BH168,0)</f>
        <v>0</v>
      </c>
      <c r="AG168" s="32">
        <f>IF(AQ168="2",BI168,0)</f>
        <v>0</v>
      </c>
      <c r="AH168" s="32">
        <f>IF(AQ168="0",BJ168,0)</f>
        <v>0</v>
      </c>
      <c r="AI168" s="28"/>
      <c r="AJ168" s="15">
        <f>IF(AN168=0,K168,0)</f>
        <v>0</v>
      </c>
      <c r="AK168" s="15">
        <f>IF(AN168=15,K168,0)</f>
        <v>0</v>
      </c>
      <c r="AL168" s="15">
        <f>IF(AN168=21,K168,0)</f>
        <v>0</v>
      </c>
      <c r="AN168" s="32">
        <v>21</v>
      </c>
      <c r="AO168" s="32">
        <f>H168*0.1</f>
        <v>0</v>
      </c>
      <c r="AP168" s="32">
        <f>H168*(1-0.1)</f>
        <v>0</v>
      </c>
      <c r="AQ168" s="27" t="s">
        <v>7</v>
      </c>
      <c r="AV168" s="32">
        <f>AW168+AX168</f>
        <v>0</v>
      </c>
      <c r="AW168" s="32">
        <f>G168*AO168</f>
        <v>0</v>
      </c>
      <c r="AX168" s="32">
        <f>G168*AP168</f>
        <v>0</v>
      </c>
      <c r="AY168" s="33" t="s">
        <v>862</v>
      </c>
      <c r="AZ168" s="33" t="s">
        <v>885</v>
      </c>
      <c r="BA168" s="28" t="s">
        <v>891</v>
      </c>
      <c r="BC168" s="32">
        <f>AW168+AX168</f>
        <v>0</v>
      </c>
      <c r="BD168" s="32">
        <f>H168/(100-BE168)*100</f>
        <v>0</v>
      </c>
      <c r="BE168" s="32">
        <v>0</v>
      </c>
      <c r="BF168" s="32">
        <f>168</f>
        <v>168</v>
      </c>
      <c r="BH168" s="15">
        <f>G168*AO168</f>
        <v>0</v>
      </c>
      <c r="BI168" s="15">
        <f>G168*AP168</f>
        <v>0</v>
      </c>
      <c r="BJ168" s="15">
        <f>G168*H168</f>
        <v>0</v>
      </c>
    </row>
    <row r="169" spans="1:62" x14ac:dyDescent="0.2">
      <c r="C169" s="57" t="s">
        <v>477</v>
      </c>
      <c r="D169" s="58"/>
      <c r="E169" s="58"/>
      <c r="G169" s="16">
        <v>104.5</v>
      </c>
    </row>
    <row r="170" spans="1:62" x14ac:dyDescent="0.2">
      <c r="C170" s="57" t="s">
        <v>478</v>
      </c>
      <c r="D170" s="58"/>
      <c r="E170" s="58"/>
      <c r="G170" s="16">
        <v>124</v>
      </c>
    </row>
    <row r="171" spans="1:62" x14ac:dyDescent="0.2">
      <c r="C171" s="57" t="s">
        <v>479</v>
      </c>
      <c r="D171" s="58"/>
      <c r="E171" s="58"/>
      <c r="G171" s="16">
        <v>60</v>
      </c>
    </row>
    <row r="172" spans="1:62" x14ac:dyDescent="0.2">
      <c r="C172" s="57" t="s">
        <v>480</v>
      </c>
      <c r="D172" s="58"/>
      <c r="E172" s="58"/>
      <c r="G172" s="16">
        <v>0</v>
      </c>
    </row>
    <row r="173" spans="1:62" x14ac:dyDescent="0.2">
      <c r="A173" s="4" t="s">
        <v>41</v>
      </c>
      <c r="B173" s="4" t="s">
        <v>194</v>
      </c>
      <c r="C173" s="59" t="s">
        <v>481</v>
      </c>
      <c r="D173" s="60"/>
      <c r="E173" s="60"/>
      <c r="F173" s="4" t="s">
        <v>817</v>
      </c>
      <c r="G173" s="15">
        <v>248.4</v>
      </c>
      <c r="H173" s="15">
        <v>0</v>
      </c>
      <c r="I173" s="15">
        <f>G173*AO173</f>
        <v>0</v>
      </c>
      <c r="J173" s="15">
        <f>G173*AP173</f>
        <v>0</v>
      </c>
      <c r="K173" s="15">
        <f>G173*H173</f>
        <v>0</v>
      </c>
      <c r="L173" s="27" t="s">
        <v>839</v>
      </c>
      <c r="Z173" s="32">
        <f>IF(AQ173="5",BJ173,0)</f>
        <v>0</v>
      </c>
      <c r="AB173" s="32">
        <f>IF(AQ173="1",BH173,0)</f>
        <v>0</v>
      </c>
      <c r="AC173" s="32">
        <f>IF(AQ173="1",BI173,0)</f>
        <v>0</v>
      </c>
      <c r="AD173" s="32">
        <f>IF(AQ173="7",BH173,0)</f>
        <v>0</v>
      </c>
      <c r="AE173" s="32">
        <f>IF(AQ173="7",BI173,0)</f>
        <v>0</v>
      </c>
      <c r="AF173" s="32">
        <f>IF(AQ173="2",BH173,0)</f>
        <v>0</v>
      </c>
      <c r="AG173" s="32">
        <f>IF(AQ173="2",BI173,0)</f>
        <v>0</v>
      </c>
      <c r="AH173" s="32">
        <f>IF(AQ173="0",BJ173,0)</f>
        <v>0</v>
      </c>
      <c r="AI173" s="28"/>
      <c r="AJ173" s="15">
        <f>IF(AN173=0,K173,0)</f>
        <v>0</v>
      </c>
      <c r="AK173" s="15">
        <f>IF(AN173=15,K173,0)</f>
        <v>0</v>
      </c>
      <c r="AL173" s="15">
        <f>IF(AN173=21,K173,0)</f>
        <v>0</v>
      </c>
      <c r="AN173" s="32">
        <v>21</v>
      </c>
      <c r="AO173" s="32">
        <f>H173*0.356360153256705</f>
        <v>0</v>
      </c>
      <c r="AP173" s="32">
        <f>H173*(1-0.356360153256705)</f>
        <v>0</v>
      </c>
      <c r="AQ173" s="27" t="s">
        <v>7</v>
      </c>
      <c r="AV173" s="32">
        <f>AW173+AX173</f>
        <v>0</v>
      </c>
      <c r="AW173" s="32">
        <f>G173*AO173</f>
        <v>0</v>
      </c>
      <c r="AX173" s="32">
        <f>G173*AP173</f>
        <v>0</v>
      </c>
      <c r="AY173" s="33" t="s">
        <v>862</v>
      </c>
      <c r="AZ173" s="33" t="s">
        <v>885</v>
      </c>
      <c r="BA173" s="28" t="s">
        <v>891</v>
      </c>
      <c r="BC173" s="32">
        <f>AW173+AX173</f>
        <v>0</v>
      </c>
      <c r="BD173" s="32">
        <f>H173/(100-BE173)*100</f>
        <v>0</v>
      </c>
      <c r="BE173" s="32">
        <v>0</v>
      </c>
      <c r="BF173" s="32">
        <f>173</f>
        <v>173</v>
      </c>
      <c r="BH173" s="15">
        <f>G173*AO173</f>
        <v>0</v>
      </c>
      <c r="BI173" s="15">
        <f>G173*AP173</f>
        <v>0</v>
      </c>
      <c r="BJ173" s="15">
        <f>G173*H173</f>
        <v>0</v>
      </c>
    </row>
    <row r="174" spans="1:62" x14ac:dyDescent="0.2">
      <c r="C174" s="57" t="s">
        <v>482</v>
      </c>
      <c r="D174" s="58"/>
      <c r="E174" s="58"/>
      <c r="G174" s="16">
        <v>176.4</v>
      </c>
    </row>
    <row r="175" spans="1:62" x14ac:dyDescent="0.2">
      <c r="C175" s="57" t="s">
        <v>483</v>
      </c>
      <c r="D175" s="58"/>
      <c r="E175" s="58"/>
      <c r="G175" s="16">
        <v>72</v>
      </c>
    </row>
    <row r="176" spans="1:62" x14ac:dyDescent="0.2">
      <c r="C176" s="57" t="s">
        <v>484</v>
      </c>
      <c r="D176" s="58"/>
      <c r="E176" s="58"/>
      <c r="G176" s="16">
        <v>0</v>
      </c>
    </row>
    <row r="177" spans="1:62" x14ac:dyDescent="0.2">
      <c r="A177" s="4" t="s">
        <v>42</v>
      </c>
      <c r="B177" s="4" t="s">
        <v>195</v>
      </c>
      <c r="C177" s="59" t="s">
        <v>485</v>
      </c>
      <c r="D177" s="60"/>
      <c r="E177" s="60"/>
      <c r="F177" s="4" t="s">
        <v>817</v>
      </c>
      <c r="G177" s="15">
        <v>1515.39</v>
      </c>
      <c r="H177" s="15">
        <v>0</v>
      </c>
      <c r="I177" s="15">
        <f>G177*AO177</f>
        <v>0</v>
      </c>
      <c r="J177" s="15">
        <f>G177*AP177</f>
        <v>0</v>
      </c>
      <c r="K177" s="15">
        <f>G177*H177</f>
        <v>0</v>
      </c>
      <c r="L177" s="27" t="s">
        <v>839</v>
      </c>
      <c r="Z177" s="32">
        <f>IF(AQ177="5",BJ177,0)</f>
        <v>0</v>
      </c>
      <c r="AB177" s="32">
        <f>IF(AQ177="1",BH177,0)</f>
        <v>0</v>
      </c>
      <c r="AC177" s="32">
        <f>IF(AQ177="1",BI177,0)</f>
        <v>0</v>
      </c>
      <c r="AD177" s="32">
        <f>IF(AQ177="7",BH177,0)</f>
        <v>0</v>
      </c>
      <c r="AE177" s="32">
        <f>IF(AQ177="7",BI177,0)</f>
        <v>0</v>
      </c>
      <c r="AF177" s="32">
        <f>IF(AQ177="2",BH177,0)</f>
        <v>0</v>
      </c>
      <c r="AG177" s="32">
        <f>IF(AQ177="2",BI177,0)</f>
        <v>0</v>
      </c>
      <c r="AH177" s="32">
        <f>IF(AQ177="0",BJ177,0)</f>
        <v>0</v>
      </c>
      <c r="AI177" s="28"/>
      <c r="AJ177" s="15">
        <f>IF(AN177=0,K177,0)</f>
        <v>0</v>
      </c>
      <c r="AK177" s="15">
        <f>IF(AN177=15,K177,0)</f>
        <v>0</v>
      </c>
      <c r="AL177" s="15">
        <f>IF(AN177=21,K177,0)</f>
        <v>0</v>
      </c>
      <c r="AN177" s="32">
        <v>21</v>
      </c>
      <c r="AO177" s="32">
        <f>H177*0.508076996412979</f>
        <v>0</v>
      </c>
      <c r="AP177" s="32">
        <f>H177*(1-0.508076996412979)</f>
        <v>0</v>
      </c>
      <c r="AQ177" s="27" t="s">
        <v>7</v>
      </c>
      <c r="AV177" s="32">
        <f>AW177+AX177</f>
        <v>0</v>
      </c>
      <c r="AW177" s="32">
        <f>G177*AO177</f>
        <v>0</v>
      </c>
      <c r="AX177" s="32">
        <f>G177*AP177</f>
        <v>0</v>
      </c>
      <c r="AY177" s="33" t="s">
        <v>862</v>
      </c>
      <c r="AZ177" s="33" t="s">
        <v>885</v>
      </c>
      <c r="BA177" s="28" t="s">
        <v>891</v>
      </c>
      <c r="BC177" s="32">
        <f>AW177+AX177</f>
        <v>0</v>
      </c>
      <c r="BD177" s="32">
        <f>H177/(100-BE177)*100</f>
        <v>0</v>
      </c>
      <c r="BE177" s="32">
        <v>0</v>
      </c>
      <c r="BF177" s="32">
        <f>177</f>
        <v>177</v>
      </c>
      <c r="BH177" s="15">
        <f>G177*AO177</f>
        <v>0</v>
      </c>
      <c r="BI177" s="15">
        <f>G177*AP177</f>
        <v>0</v>
      </c>
      <c r="BJ177" s="15">
        <f>G177*H177</f>
        <v>0</v>
      </c>
    </row>
    <row r="178" spans="1:62" x14ac:dyDescent="0.2">
      <c r="C178" s="57" t="s">
        <v>486</v>
      </c>
      <c r="D178" s="58"/>
      <c r="E178" s="58"/>
      <c r="G178" s="16">
        <v>1515.39</v>
      </c>
    </row>
    <row r="179" spans="1:62" x14ac:dyDescent="0.2">
      <c r="A179" s="4" t="s">
        <v>43</v>
      </c>
      <c r="B179" s="4" t="s">
        <v>196</v>
      </c>
      <c r="C179" s="59" t="s">
        <v>487</v>
      </c>
      <c r="D179" s="60"/>
      <c r="E179" s="60"/>
      <c r="F179" s="4" t="s">
        <v>816</v>
      </c>
      <c r="G179" s="15">
        <v>211.5</v>
      </c>
      <c r="H179" s="15">
        <v>0</v>
      </c>
      <c r="I179" s="15">
        <f>G179*AO179</f>
        <v>0</v>
      </c>
      <c r="J179" s="15">
        <f>G179*AP179</f>
        <v>0</v>
      </c>
      <c r="K179" s="15">
        <f>G179*H179</f>
        <v>0</v>
      </c>
      <c r="L179" s="27" t="s">
        <v>839</v>
      </c>
      <c r="Z179" s="32">
        <f>IF(AQ179="5",BJ179,0)</f>
        <v>0</v>
      </c>
      <c r="AB179" s="32">
        <f>IF(AQ179="1",BH179,0)</f>
        <v>0</v>
      </c>
      <c r="AC179" s="32">
        <f>IF(AQ179="1",BI179,0)</f>
        <v>0</v>
      </c>
      <c r="AD179" s="32">
        <f>IF(AQ179="7",BH179,0)</f>
        <v>0</v>
      </c>
      <c r="AE179" s="32">
        <f>IF(AQ179="7",BI179,0)</f>
        <v>0</v>
      </c>
      <c r="AF179" s="32">
        <f>IF(AQ179="2",BH179,0)</f>
        <v>0</v>
      </c>
      <c r="AG179" s="32">
        <f>IF(AQ179="2",BI179,0)</f>
        <v>0</v>
      </c>
      <c r="AH179" s="32">
        <f>IF(AQ179="0",BJ179,0)</f>
        <v>0</v>
      </c>
      <c r="AI179" s="28"/>
      <c r="AJ179" s="15">
        <f>IF(AN179=0,K179,0)</f>
        <v>0</v>
      </c>
      <c r="AK179" s="15">
        <f>IF(AN179=15,K179,0)</f>
        <v>0</v>
      </c>
      <c r="AL179" s="15">
        <f>IF(AN179=21,K179,0)</f>
        <v>0</v>
      </c>
      <c r="AN179" s="32">
        <v>21</v>
      </c>
      <c r="AO179" s="32">
        <f>H179*0.554363153086845</f>
        <v>0</v>
      </c>
      <c r="AP179" s="32">
        <f>H179*(1-0.554363153086845)</f>
        <v>0</v>
      </c>
      <c r="AQ179" s="27" t="s">
        <v>7</v>
      </c>
      <c r="AV179" s="32">
        <f>AW179+AX179</f>
        <v>0</v>
      </c>
      <c r="AW179" s="32">
        <f>G179*AO179</f>
        <v>0</v>
      </c>
      <c r="AX179" s="32">
        <f>G179*AP179</f>
        <v>0</v>
      </c>
      <c r="AY179" s="33" t="s">
        <v>862</v>
      </c>
      <c r="AZ179" s="33" t="s">
        <v>885</v>
      </c>
      <c r="BA179" s="28" t="s">
        <v>891</v>
      </c>
      <c r="BC179" s="32">
        <f>AW179+AX179</f>
        <v>0</v>
      </c>
      <c r="BD179" s="32">
        <f>H179/(100-BE179)*100</f>
        <v>0</v>
      </c>
      <c r="BE179" s="32">
        <v>0</v>
      </c>
      <c r="BF179" s="32">
        <f>179</f>
        <v>179</v>
      </c>
      <c r="BH179" s="15">
        <f>G179*AO179</f>
        <v>0</v>
      </c>
      <c r="BI179" s="15">
        <f>G179*AP179</f>
        <v>0</v>
      </c>
      <c r="BJ179" s="15">
        <f>G179*H179</f>
        <v>0</v>
      </c>
    </row>
    <row r="180" spans="1:62" x14ac:dyDescent="0.2">
      <c r="C180" s="57" t="s">
        <v>488</v>
      </c>
      <c r="D180" s="58"/>
      <c r="E180" s="58"/>
      <c r="G180" s="16">
        <v>211.5</v>
      </c>
    </row>
    <row r="181" spans="1:62" x14ac:dyDescent="0.2">
      <c r="C181" s="57" t="s">
        <v>489</v>
      </c>
      <c r="D181" s="58"/>
      <c r="E181" s="58"/>
      <c r="G181" s="16">
        <v>0</v>
      </c>
    </row>
    <row r="182" spans="1:62" x14ac:dyDescent="0.2">
      <c r="A182" s="5"/>
      <c r="B182" s="13" t="s">
        <v>69</v>
      </c>
      <c r="C182" s="65" t="s">
        <v>490</v>
      </c>
      <c r="D182" s="66"/>
      <c r="E182" s="66"/>
      <c r="F182" s="5" t="s">
        <v>6</v>
      </c>
      <c r="G182" s="5" t="s">
        <v>6</v>
      </c>
      <c r="H182" s="5" t="s">
        <v>6</v>
      </c>
      <c r="I182" s="35">
        <f>SUM(I183:I183)</f>
        <v>0</v>
      </c>
      <c r="J182" s="35">
        <f>SUM(J183:J183)</f>
        <v>0</v>
      </c>
      <c r="K182" s="35">
        <f>SUM(K183:K183)</f>
        <v>0</v>
      </c>
      <c r="L182" s="28"/>
      <c r="AI182" s="28"/>
      <c r="AS182" s="35">
        <f>SUM(AJ183:AJ183)</f>
        <v>0</v>
      </c>
      <c r="AT182" s="35">
        <f>SUM(AK183:AK183)</f>
        <v>0</v>
      </c>
      <c r="AU182" s="35">
        <f>SUM(AL183:AL183)</f>
        <v>0</v>
      </c>
    </row>
    <row r="183" spans="1:62" x14ac:dyDescent="0.2">
      <c r="A183" s="4" t="s">
        <v>44</v>
      </c>
      <c r="B183" s="4" t="s">
        <v>197</v>
      </c>
      <c r="C183" s="59" t="s">
        <v>491</v>
      </c>
      <c r="D183" s="60"/>
      <c r="E183" s="60"/>
      <c r="F183" s="4" t="s">
        <v>816</v>
      </c>
      <c r="G183" s="15">
        <v>195.09</v>
      </c>
      <c r="H183" s="15">
        <v>0</v>
      </c>
      <c r="I183" s="15">
        <f>G183*AO183</f>
        <v>0</v>
      </c>
      <c r="J183" s="15">
        <f>G183*AP183</f>
        <v>0</v>
      </c>
      <c r="K183" s="15">
        <f>G183*H183</f>
        <v>0</v>
      </c>
      <c r="L183" s="27" t="s">
        <v>839</v>
      </c>
      <c r="Z183" s="32">
        <f>IF(AQ183="5",BJ183,0)</f>
        <v>0</v>
      </c>
      <c r="AB183" s="32">
        <f>IF(AQ183="1",BH183,0)</f>
        <v>0</v>
      </c>
      <c r="AC183" s="32">
        <f>IF(AQ183="1",BI183,0)</f>
        <v>0</v>
      </c>
      <c r="AD183" s="32">
        <f>IF(AQ183="7",BH183,0)</f>
        <v>0</v>
      </c>
      <c r="AE183" s="32">
        <f>IF(AQ183="7",BI183,0)</f>
        <v>0</v>
      </c>
      <c r="AF183" s="32">
        <f>IF(AQ183="2",BH183,0)</f>
        <v>0</v>
      </c>
      <c r="AG183" s="32">
        <f>IF(AQ183="2",BI183,0)</f>
        <v>0</v>
      </c>
      <c r="AH183" s="32">
        <f>IF(AQ183="0",BJ183,0)</f>
        <v>0</v>
      </c>
      <c r="AI183" s="28"/>
      <c r="AJ183" s="15">
        <f>IF(AN183=0,K183,0)</f>
        <v>0</v>
      </c>
      <c r="AK183" s="15">
        <f>IF(AN183=15,K183,0)</f>
        <v>0</v>
      </c>
      <c r="AL183" s="15">
        <f>IF(AN183=21,K183,0)</f>
        <v>0</v>
      </c>
      <c r="AN183" s="32">
        <v>21</v>
      </c>
      <c r="AO183" s="32">
        <f>H183*0.66309423347398</f>
        <v>0</v>
      </c>
      <c r="AP183" s="32">
        <f>H183*(1-0.66309423347398)</f>
        <v>0</v>
      </c>
      <c r="AQ183" s="27" t="s">
        <v>7</v>
      </c>
      <c r="AV183" s="32">
        <f>AW183+AX183</f>
        <v>0</v>
      </c>
      <c r="AW183" s="32">
        <f>G183*AO183</f>
        <v>0</v>
      </c>
      <c r="AX183" s="32">
        <f>G183*AP183</f>
        <v>0</v>
      </c>
      <c r="AY183" s="33" t="s">
        <v>863</v>
      </c>
      <c r="AZ183" s="33" t="s">
        <v>885</v>
      </c>
      <c r="BA183" s="28" t="s">
        <v>891</v>
      </c>
      <c r="BC183" s="32">
        <f>AW183+AX183</f>
        <v>0</v>
      </c>
      <c r="BD183" s="32">
        <f>H183/(100-BE183)*100</f>
        <v>0</v>
      </c>
      <c r="BE183" s="32">
        <v>0</v>
      </c>
      <c r="BF183" s="32">
        <f>183</f>
        <v>183</v>
      </c>
      <c r="BH183" s="15">
        <f>G183*AO183</f>
        <v>0</v>
      </c>
      <c r="BI183" s="15">
        <f>G183*AP183</f>
        <v>0</v>
      </c>
      <c r="BJ183" s="15">
        <f>G183*H183</f>
        <v>0</v>
      </c>
    </row>
    <row r="184" spans="1:62" x14ac:dyDescent="0.2">
      <c r="C184" s="57" t="s">
        <v>492</v>
      </c>
      <c r="D184" s="58"/>
      <c r="E184" s="58"/>
      <c r="G184" s="16">
        <v>185.8</v>
      </c>
    </row>
    <row r="185" spans="1:62" x14ac:dyDescent="0.2">
      <c r="C185" s="57" t="s">
        <v>493</v>
      </c>
      <c r="D185" s="58"/>
      <c r="E185" s="58"/>
      <c r="G185" s="16">
        <v>9.2899999999999991</v>
      </c>
    </row>
    <row r="186" spans="1:62" x14ac:dyDescent="0.2">
      <c r="A186" s="5"/>
      <c r="B186" s="13" t="s">
        <v>198</v>
      </c>
      <c r="C186" s="65" t="s">
        <v>494</v>
      </c>
      <c r="D186" s="66"/>
      <c r="E186" s="66"/>
      <c r="F186" s="5" t="s">
        <v>6</v>
      </c>
      <c r="G186" s="5" t="s">
        <v>6</v>
      </c>
      <c r="H186" s="5" t="s">
        <v>6</v>
      </c>
      <c r="I186" s="35">
        <f>SUM(I187:I220)</f>
        <v>0</v>
      </c>
      <c r="J186" s="35">
        <f>SUM(J187:J220)</f>
        <v>0</v>
      </c>
      <c r="K186" s="35">
        <f>SUM(K187:K220)</f>
        <v>0</v>
      </c>
      <c r="L186" s="28"/>
      <c r="AI186" s="28"/>
      <c r="AS186" s="35">
        <f>SUM(AJ187:AJ220)</f>
        <v>0</v>
      </c>
      <c r="AT186" s="35">
        <f>SUM(AK187:AK220)</f>
        <v>0</v>
      </c>
      <c r="AU186" s="35">
        <f>SUM(AL187:AL220)</f>
        <v>0</v>
      </c>
    </row>
    <row r="187" spans="1:62" x14ac:dyDescent="0.2">
      <c r="A187" s="4" t="s">
        <v>45</v>
      </c>
      <c r="B187" s="4" t="s">
        <v>199</v>
      </c>
      <c r="C187" s="59" t="s">
        <v>495</v>
      </c>
      <c r="D187" s="60"/>
      <c r="E187" s="60"/>
      <c r="F187" s="4" t="s">
        <v>817</v>
      </c>
      <c r="G187" s="15">
        <v>1236</v>
      </c>
      <c r="H187" s="15">
        <v>0</v>
      </c>
      <c r="I187" s="15">
        <f>G187*AO187</f>
        <v>0</v>
      </c>
      <c r="J187" s="15">
        <f>G187*AP187</f>
        <v>0</v>
      </c>
      <c r="K187" s="15">
        <f>G187*H187</f>
        <v>0</v>
      </c>
      <c r="L187" s="27" t="s">
        <v>839</v>
      </c>
      <c r="Z187" s="32">
        <f>IF(AQ187="5",BJ187,0)</f>
        <v>0</v>
      </c>
      <c r="AB187" s="32">
        <f>IF(AQ187="1",BH187,0)</f>
        <v>0</v>
      </c>
      <c r="AC187" s="32">
        <f>IF(AQ187="1",BI187,0)</f>
        <v>0</v>
      </c>
      <c r="AD187" s="32">
        <f>IF(AQ187="7",BH187,0)</f>
        <v>0</v>
      </c>
      <c r="AE187" s="32">
        <f>IF(AQ187="7",BI187,0)</f>
        <v>0</v>
      </c>
      <c r="AF187" s="32">
        <f>IF(AQ187="2",BH187,0)</f>
        <v>0</v>
      </c>
      <c r="AG187" s="32">
        <f>IF(AQ187="2",BI187,0)</f>
        <v>0</v>
      </c>
      <c r="AH187" s="32">
        <f>IF(AQ187="0",BJ187,0)</f>
        <v>0</v>
      </c>
      <c r="AI187" s="28"/>
      <c r="AJ187" s="15">
        <f>IF(AN187=0,K187,0)</f>
        <v>0</v>
      </c>
      <c r="AK187" s="15">
        <f>IF(AN187=15,K187,0)</f>
        <v>0</v>
      </c>
      <c r="AL187" s="15">
        <f>IF(AN187=21,K187,0)</f>
        <v>0</v>
      </c>
      <c r="AN187" s="32">
        <v>21</v>
      </c>
      <c r="AO187" s="32">
        <f>H187*0</f>
        <v>0</v>
      </c>
      <c r="AP187" s="32">
        <f>H187*(1-0)</f>
        <v>0</v>
      </c>
      <c r="AQ187" s="27" t="s">
        <v>13</v>
      </c>
      <c r="AV187" s="32">
        <f>AW187+AX187</f>
        <v>0</v>
      </c>
      <c r="AW187" s="32">
        <f>G187*AO187</f>
        <v>0</v>
      </c>
      <c r="AX187" s="32">
        <f>G187*AP187</f>
        <v>0</v>
      </c>
      <c r="AY187" s="33" t="s">
        <v>864</v>
      </c>
      <c r="AZ187" s="33" t="s">
        <v>886</v>
      </c>
      <c r="BA187" s="28" t="s">
        <v>891</v>
      </c>
      <c r="BC187" s="32">
        <f>AW187+AX187</f>
        <v>0</v>
      </c>
      <c r="BD187" s="32">
        <f>H187/(100-BE187)*100</f>
        <v>0</v>
      </c>
      <c r="BE187" s="32">
        <v>0</v>
      </c>
      <c r="BF187" s="32">
        <f>187</f>
        <v>187</v>
      </c>
      <c r="BH187" s="15">
        <f>G187*AO187</f>
        <v>0</v>
      </c>
      <c r="BI187" s="15">
        <f>G187*AP187</f>
        <v>0</v>
      </c>
      <c r="BJ187" s="15">
        <f>G187*H187</f>
        <v>0</v>
      </c>
    </row>
    <row r="188" spans="1:62" x14ac:dyDescent="0.2">
      <c r="C188" s="57" t="s">
        <v>496</v>
      </c>
      <c r="D188" s="58"/>
      <c r="E188" s="58"/>
      <c r="G188" s="16">
        <v>1101</v>
      </c>
    </row>
    <row r="189" spans="1:62" x14ac:dyDescent="0.2">
      <c r="C189" s="57" t="s">
        <v>497</v>
      </c>
      <c r="D189" s="58"/>
      <c r="E189" s="58"/>
      <c r="G189" s="16">
        <v>66.5</v>
      </c>
    </row>
    <row r="190" spans="1:62" x14ac:dyDescent="0.2">
      <c r="C190" s="57" t="s">
        <v>498</v>
      </c>
      <c r="D190" s="58"/>
      <c r="E190" s="58"/>
      <c r="G190" s="16">
        <v>68.5</v>
      </c>
    </row>
    <row r="191" spans="1:62" x14ac:dyDescent="0.2">
      <c r="C191" s="57" t="s">
        <v>499</v>
      </c>
      <c r="D191" s="58"/>
      <c r="E191" s="58"/>
      <c r="G191" s="16">
        <v>0</v>
      </c>
    </row>
    <row r="192" spans="1:62" x14ac:dyDescent="0.2">
      <c r="A192" s="4" t="s">
        <v>46</v>
      </c>
      <c r="B192" s="4" t="s">
        <v>200</v>
      </c>
      <c r="C192" s="59" t="s">
        <v>500</v>
      </c>
      <c r="D192" s="60"/>
      <c r="E192" s="60"/>
      <c r="F192" s="4" t="s">
        <v>817</v>
      </c>
      <c r="G192" s="15">
        <v>1236</v>
      </c>
      <c r="H192" s="15">
        <v>0</v>
      </c>
      <c r="I192" s="15">
        <f>G192*AO192</f>
        <v>0</v>
      </c>
      <c r="J192" s="15">
        <f>G192*AP192</f>
        <v>0</v>
      </c>
      <c r="K192" s="15">
        <f>G192*H192</f>
        <v>0</v>
      </c>
      <c r="L192" s="27" t="s">
        <v>839</v>
      </c>
      <c r="Z192" s="32">
        <f>IF(AQ192="5",BJ192,0)</f>
        <v>0</v>
      </c>
      <c r="AB192" s="32">
        <f>IF(AQ192="1",BH192,0)</f>
        <v>0</v>
      </c>
      <c r="AC192" s="32">
        <f>IF(AQ192="1",BI192,0)</f>
        <v>0</v>
      </c>
      <c r="AD192" s="32">
        <f>IF(AQ192="7",BH192,0)</f>
        <v>0</v>
      </c>
      <c r="AE192" s="32">
        <f>IF(AQ192="7",BI192,0)</f>
        <v>0</v>
      </c>
      <c r="AF192" s="32">
        <f>IF(AQ192="2",BH192,0)</f>
        <v>0</v>
      </c>
      <c r="AG192" s="32">
        <f>IF(AQ192="2",BI192,0)</f>
        <v>0</v>
      </c>
      <c r="AH192" s="32">
        <f>IF(AQ192="0",BJ192,0)</f>
        <v>0</v>
      </c>
      <c r="AI192" s="28"/>
      <c r="AJ192" s="15">
        <f>IF(AN192=0,K192,0)</f>
        <v>0</v>
      </c>
      <c r="AK192" s="15">
        <f>IF(AN192=15,K192,0)</f>
        <v>0</v>
      </c>
      <c r="AL192" s="15">
        <f>IF(AN192=21,K192,0)</f>
        <v>0</v>
      </c>
      <c r="AN192" s="32">
        <v>21</v>
      </c>
      <c r="AO192" s="32">
        <f>H192*0</f>
        <v>0</v>
      </c>
      <c r="AP192" s="32">
        <f>H192*(1-0)</f>
        <v>0</v>
      </c>
      <c r="AQ192" s="27" t="s">
        <v>13</v>
      </c>
      <c r="AV192" s="32">
        <f>AW192+AX192</f>
        <v>0</v>
      </c>
      <c r="AW192" s="32">
        <f>G192*AO192</f>
        <v>0</v>
      </c>
      <c r="AX192" s="32">
        <f>G192*AP192</f>
        <v>0</v>
      </c>
      <c r="AY192" s="33" t="s">
        <v>864</v>
      </c>
      <c r="AZ192" s="33" t="s">
        <v>886</v>
      </c>
      <c r="BA192" s="28" t="s">
        <v>891</v>
      </c>
      <c r="BC192" s="32">
        <f>AW192+AX192</f>
        <v>0</v>
      </c>
      <c r="BD192" s="32">
        <f>H192/(100-BE192)*100</f>
        <v>0</v>
      </c>
      <c r="BE192" s="32">
        <v>0</v>
      </c>
      <c r="BF192" s="32">
        <f>192</f>
        <v>192</v>
      </c>
      <c r="BH192" s="15">
        <f>G192*AO192</f>
        <v>0</v>
      </c>
      <c r="BI192" s="15">
        <f>G192*AP192</f>
        <v>0</v>
      </c>
      <c r="BJ192" s="15">
        <f>G192*H192</f>
        <v>0</v>
      </c>
    </row>
    <row r="193" spans="1:62" x14ac:dyDescent="0.2">
      <c r="C193" s="57" t="s">
        <v>501</v>
      </c>
      <c r="D193" s="58"/>
      <c r="E193" s="58"/>
      <c r="G193" s="16">
        <v>1236</v>
      </c>
    </row>
    <row r="194" spans="1:62" x14ac:dyDescent="0.2">
      <c r="A194" s="4" t="s">
        <v>47</v>
      </c>
      <c r="B194" s="4" t="s">
        <v>201</v>
      </c>
      <c r="C194" s="59" t="s">
        <v>942</v>
      </c>
      <c r="D194" s="60"/>
      <c r="E194" s="60"/>
      <c r="F194" s="4" t="s">
        <v>816</v>
      </c>
      <c r="G194" s="15">
        <v>270</v>
      </c>
      <c r="H194" s="15">
        <v>0</v>
      </c>
      <c r="I194" s="15">
        <f>G194*AO194</f>
        <v>0</v>
      </c>
      <c r="J194" s="15">
        <f>G194*AP194</f>
        <v>0</v>
      </c>
      <c r="K194" s="15">
        <f>G194*H194</f>
        <v>0</v>
      </c>
      <c r="L194" s="27" t="s">
        <v>839</v>
      </c>
      <c r="Z194" s="32">
        <f>IF(AQ194="5",BJ194,0)</f>
        <v>0</v>
      </c>
      <c r="AB194" s="32">
        <f>IF(AQ194="1",BH194,0)</f>
        <v>0</v>
      </c>
      <c r="AC194" s="32">
        <f>IF(AQ194="1",BI194,0)</f>
        <v>0</v>
      </c>
      <c r="AD194" s="32">
        <f>IF(AQ194="7",BH194,0)</f>
        <v>0</v>
      </c>
      <c r="AE194" s="32">
        <f>IF(AQ194="7",BI194,0)</f>
        <v>0</v>
      </c>
      <c r="AF194" s="32">
        <f>IF(AQ194="2",BH194,0)</f>
        <v>0</v>
      </c>
      <c r="AG194" s="32">
        <f>IF(AQ194="2",BI194,0)</f>
        <v>0</v>
      </c>
      <c r="AH194" s="32">
        <f>IF(AQ194="0",BJ194,0)</f>
        <v>0</v>
      </c>
      <c r="AI194" s="28"/>
      <c r="AJ194" s="15">
        <f>IF(AN194=0,K194,0)</f>
        <v>0</v>
      </c>
      <c r="AK194" s="15">
        <f>IF(AN194=15,K194,0)</f>
        <v>0</v>
      </c>
      <c r="AL194" s="15">
        <f>IF(AN194=21,K194,0)</f>
        <v>0</v>
      </c>
      <c r="AN194" s="32">
        <v>21</v>
      </c>
      <c r="AO194" s="32">
        <f>H194*0.41157437567861</f>
        <v>0</v>
      </c>
      <c r="AP194" s="32">
        <f>H194*(1-0.41157437567861)</f>
        <v>0</v>
      </c>
      <c r="AQ194" s="27" t="s">
        <v>13</v>
      </c>
      <c r="AV194" s="32">
        <f>AW194+AX194</f>
        <v>0</v>
      </c>
      <c r="AW194" s="32">
        <f>G194*AO194</f>
        <v>0</v>
      </c>
      <c r="AX194" s="32">
        <f>G194*AP194</f>
        <v>0</v>
      </c>
      <c r="AY194" s="33" t="s">
        <v>864</v>
      </c>
      <c r="AZ194" s="33" t="s">
        <v>886</v>
      </c>
      <c r="BA194" s="28" t="s">
        <v>891</v>
      </c>
      <c r="BC194" s="32">
        <f>AW194+AX194</f>
        <v>0</v>
      </c>
      <c r="BD194" s="32">
        <f>H194/(100-BE194)*100</f>
        <v>0</v>
      </c>
      <c r="BE194" s="32">
        <v>0</v>
      </c>
      <c r="BF194" s="32">
        <f>194</f>
        <v>194</v>
      </c>
      <c r="BH194" s="15">
        <f>G194*AO194</f>
        <v>0</v>
      </c>
      <c r="BI194" s="15">
        <f>G194*AP194</f>
        <v>0</v>
      </c>
      <c r="BJ194" s="15">
        <f>G194*H194</f>
        <v>0</v>
      </c>
    </row>
    <row r="195" spans="1:62" x14ac:dyDescent="0.2">
      <c r="C195" s="57" t="s">
        <v>502</v>
      </c>
      <c r="D195" s="58"/>
      <c r="E195" s="58"/>
      <c r="G195" s="16">
        <v>270</v>
      </c>
    </row>
    <row r="196" spans="1:62" x14ac:dyDescent="0.2">
      <c r="A196" s="4" t="s">
        <v>48</v>
      </c>
      <c r="B196" s="4" t="s">
        <v>202</v>
      </c>
      <c r="C196" s="59" t="s">
        <v>943</v>
      </c>
      <c r="D196" s="60"/>
      <c r="E196" s="60"/>
      <c r="F196" s="4" t="s">
        <v>816</v>
      </c>
      <c r="G196" s="15">
        <v>270</v>
      </c>
      <c r="H196" s="15">
        <v>0</v>
      </c>
      <c r="I196" s="15">
        <f>G196*AO196</f>
        <v>0</v>
      </c>
      <c r="J196" s="15">
        <f>G196*AP196</f>
        <v>0</v>
      </c>
      <c r="K196" s="15">
        <f>G196*H196</f>
        <v>0</v>
      </c>
      <c r="L196" s="27" t="s">
        <v>839</v>
      </c>
      <c r="Z196" s="32">
        <f>IF(AQ196="5",BJ196,0)</f>
        <v>0</v>
      </c>
      <c r="AB196" s="32">
        <f>IF(AQ196="1",BH196,0)</f>
        <v>0</v>
      </c>
      <c r="AC196" s="32">
        <f>IF(AQ196="1",BI196,0)</f>
        <v>0</v>
      </c>
      <c r="AD196" s="32">
        <f>IF(AQ196="7",BH196,0)</f>
        <v>0</v>
      </c>
      <c r="AE196" s="32">
        <f>IF(AQ196="7",BI196,0)</f>
        <v>0</v>
      </c>
      <c r="AF196" s="32">
        <f>IF(AQ196="2",BH196,0)</f>
        <v>0</v>
      </c>
      <c r="AG196" s="32">
        <f>IF(AQ196="2",BI196,0)</f>
        <v>0</v>
      </c>
      <c r="AH196" s="32">
        <f>IF(AQ196="0",BJ196,0)</f>
        <v>0</v>
      </c>
      <c r="AI196" s="28"/>
      <c r="AJ196" s="15">
        <f>IF(AN196=0,K196,0)</f>
        <v>0</v>
      </c>
      <c r="AK196" s="15">
        <f>IF(AN196=15,K196,0)</f>
        <v>0</v>
      </c>
      <c r="AL196" s="15">
        <f>IF(AN196=21,K196,0)</f>
        <v>0</v>
      </c>
      <c r="AN196" s="32">
        <v>21</v>
      </c>
      <c r="AO196" s="32">
        <f>H196*0.353857142857143</f>
        <v>0</v>
      </c>
      <c r="AP196" s="32">
        <f>H196*(1-0.353857142857143)</f>
        <v>0</v>
      </c>
      <c r="AQ196" s="27" t="s">
        <v>13</v>
      </c>
      <c r="AV196" s="32">
        <f>AW196+AX196</f>
        <v>0</v>
      </c>
      <c r="AW196" s="32">
        <f>G196*AO196</f>
        <v>0</v>
      </c>
      <c r="AX196" s="32">
        <f>G196*AP196</f>
        <v>0</v>
      </c>
      <c r="AY196" s="33" t="s">
        <v>864</v>
      </c>
      <c r="AZ196" s="33" t="s">
        <v>886</v>
      </c>
      <c r="BA196" s="28" t="s">
        <v>891</v>
      </c>
      <c r="BC196" s="32">
        <f>AW196+AX196</f>
        <v>0</v>
      </c>
      <c r="BD196" s="32">
        <f>H196/(100-BE196)*100</f>
        <v>0</v>
      </c>
      <c r="BE196" s="32">
        <v>0</v>
      </c>
      <c r="BF196" s="32">
        <f>196</f>
        <v>196</v>
      </c>
      <c r="BH196" s="15">
        <f>G196*AO196</f>
        <v>0</v>
      </c>
      <c r="BI196" s="15">
        <f>G196*AP196</f>
        <v>0</v>
      </c>
      <c r="BJ196" s="15">
        <f>G196*H196</f>
        <v>0</v>
      </c>
    </row>
    <row r="197" spans="1:62" x14ac:dyDescent="0.2">
      <c r="C197" s="57" t="s">
        <v>502</v>
      </c>
      <c r="D197" s="58"/>
      <c r="E197" s="58"/>
      <c r="G197" s="16">
        <v>270</v>
      </c>
    </row>
    <row r="198" spans="1:62" x14ac:dyDescent="0.2">
      <c r="A198" s="4" t="s">
        <v>49</v>
      </c>
      <c r="B198" s="4" t="s">
        <v>203</v>
      </c>
      <c r="C198" s="59" t="s">
        <v>944</v>
      </c>
      <c r="D198" s="60"/>
      <c r="E198" s="60"/>
      <c r="F198" s="4" t="s">
        <v>816</v>
      </c>
      <c r="G198" s="15">
        <v>540</v>
      </c>
      <c r="H198" s="15">
        <v>0</v>
      </c>
      <c r="I198" s="15">
        <f>G198*AO198</f>
        <v>0</v>
      </c>
      <c r="J198" s="15">
        <f>G198*AP198</f>
        <v>0</v>
      </c>
      <c r="K198" s="15">
        <f>G198*H198</f>
        <v>0</v>
      </c>
      <c r="L198" s="27" t="s">
        <v>839</v>
      </c>
      <c r="Z198" s="32">
        <f>IF(AQ198="5",BJ198,0)</f>
        <v>0</v>
      </c>
      <c r="AB198" s="32">
        <f>IF(AQ198="1",BH198,0)</f>
        <v>0</v>
      </c>
      <c r="AC198" s="32">
        <f>IF(AQ198="1",BI198,0)</f>
        <v>0</v>
      </c>
      <c r="AD198" s="32">
        <f>IF(AQ198="7",BH198,0)</f>
        <v>0</v>
      </c>
      <c r="AE198" s="32">
        <f>IF(AQ198="7",BI198,0)</f>
        <v>0</v>
      </c>
      <c r="AF198" s="32">
        <f>IF(AQ198="2",BH198,0)</f>
        <v>0</v>
      </c>
      <c r="AG198" s="32">
        <f>IF(AQ198="2",BI198,0)</f>
        <v>0</v>
      </c>
      <c r="AH198" s="32">
        <f>IF(AQ198="0",BJ198,0)</f>
        <v>0</v>
      </c>
      <c r="AI198" s="28"/>
      <c r="AJ198" s="15">
        <f>IF(AN198=0,K198,0)</f>
        <v>0</v>
      </c>
      <c r="AK198" s="15">
        <f>IF(AN198=15,K198,0)</f>
        <v>0</v>
      </c>
      <c r="AL198" s="15">
        <f>IF(AN198=21,K198,0)</f>
        <v>0</v>
      </c>
      <c r="AN198" s="32">
        <v>21</v>
      </c>
      <c r="AO198" s="32">
        <f>H198*0.353857142857143</f>
        <v>0</v>
      </c>
      <c r="AP198" s="32">
        <f>H198*(1-0.353857142857143)</f>
        <v>0</v>
      </c>
      <c r="AQ198" s="27" t="s">
        <v>13</v>
      </c>
      <c r="AV198" s="32">
        <f>AW198+AX198</f>
        <v>0</v>
      </c>
      <c r="AW198" s="32">
        <f>G198*AO198</f>
        <v>0</v>
      </c>
      <c r="AX198" s="32">
        <f>G198*AP198</f>
        <v>0</v>
      </c>
      <c r="AY198" s="33" t="s">
        <v>864</v>
      </c>
      <c r="AZ198" s="33" t="s">
        <v>886</v>
      </c>
      <c r="BA198" s="28" t="s">
        <v>891</v>
      </c>
      <c r="BC198" s="32">
        <f>AW198+AX198</f>
        <v>0</v>
      </c>
      <c r="BD198" s="32">
        <f>H198/(100-BE198)*100</f>
        <v>0</v>
      </c>
      <c r="BE198" s="32">
        <v>0</v>
      </c>
      <c r="BF198" s="32">
        <f>198</f>
        <v>198</v>
      </c>
      <c r="BH198" s="15">
        <f>G198*AO198</f>
        <v>0</v>
      </c>
      <c r="BI198" s="15">
        <f>G198*AP198</f>
        <v>0</v>
      </c>
      <c r="BJ198" s="15">
        <f>G198*H198</f>
        <v>0</v>
      </c>
    </row>
    <row r="199" spans="1:62" x14ac:dyDescent="0.2">
      <c r="C199" s="57" t="s">
        <v>503</v>
      </c>
      <c r="D199" s="58"/>
      <c r="E199" s="58"/>
      <c r="G199" s="16">
        <v>540</v>
      </c>
    </row>
    <row r="200" spans="1:62" x14ac:dyDescent="0.2">
      <c r="A200" s="4" t="s">
        <v>50</v>
      </c>
      <c r="B200" s="4" t="s">
        <v>204</v>
      </c>
      <c r="C200" s="59" t="s">
        <v>504</v>
      </c>
      <c r="D200" s="60"/>
      <c r="E200" s="60"/>
      <c r="F200" s="4" t="s">
        <v>816</v>
      </c>
      <c r="G200" s="15">
        <v>270</v>
      </c>
      <c r="H200" s="15">
        <v>0</v>
      </c>
      <c r="I200" s="15">
        <f>G200*AO200</f>
        <v>0</v>
      </c>
      <c r="J200" s="15">
        <f>G200*AP200</f>
        <v>0</v>
      </c>
      <c r="K200" s="15">
        <f>G200*H200</f>
        <v>0</v>
      </c>
      <c r="L200" s="27" t="s">
        <v>839</v>
      </c>
      <c r="Z200" s="32">
        <f>IF(AQ200="5",BJ200,0)</f>
        <v>0</v>
      </c>
      <c r="AB200" s="32">
        <f>IF(AQ200="1",BH200,0)</f>
        <v>0</v>
      </c>
      <c r="AC200" s="32">
        <f>IF(AQ200="1",BI200,0)</f>
        <v>0</v>
      </c>
      <c r="AD200" s="32">
        <f>IF(AQ200="7",BH200,0)</f>
        <v>0</v>
      </c>
      <c r="AE200" s="32">
        <f>IF(AQ200="7",BI200,0)</f>
        <v>0</v>
      </c>
      <c r="AF200" s="32">
        <f>IF(AQ200="2",BH200,0)</f>
        <v>0</v>
      </c>
      <c r="AG200" s="32">
        <f>IF(AQ200="2",BI200,0)</f>
        <v>0</v>
      </c>
      <c r="AH200" s="32">
        <f>IF(AQ200="0",BJ200,0)</f>
        <v>0</v>
      </c>
      <c r="AI200" s="28"/>
      <c r="AJ200" s="15">
        <f>IF(AN200=0,K200,0)</f>
        <v>0</v>
      </c>
      <c r="AK200" s="15">
        <f>IF(AN200=15,K200,0)</f>
        <v>0</v>
      </c>
      <c r="AL200" s="15">
        <f>IF(AN200=21,K200,0)</f>
        <v>0</v>
      </c>
      <c r="AN200" s="32">
        <v>21</v>
      </c>
      <c r="AO200" s="32">
        <f>H200*0.421980676328502</f>
        <v>0</v>
      </c>
      <c r="AP200" s="32">
        <f>H200*(1-0.421980676328502)</f>
        <v>0</v>
      </c>
      <c r="AQ200" s="27" t="s">
        <v>13</v>
      </c>
      <c r="AV200" s="32">
        <f>AW200+AX200</f>
        <v>0</v>
      </c>
      <c r="AW200" s="32">
        <f>G200*AO200</f>
        <v>0</v>
      </c>
      <c r="AX200" s="32">
        <f>G200*AP200</f>
        <v>0</v>
      </c>
      <c r="AY200" s="33" t="s">
        <v>864</v>
      </c>
      <c r="AZ200" s="33" t="s">
        <v>886</v>
      </c>
      <c r="BA200" s="28" t="s">
        <v>891</v>
      </c>
      <c r="BC200" s="32">
        <f>AW200+AX200</f>
        <v>0</v>
      </c>
      <c r="BD200" s="32">
        <f>H200/(100-BE200)*100</f>
        <v>0</v>
      </c>
      <c r="BE200" s="32">
        <v>0</v>
      </c>
      <c r="BF200" s="32">
        <f>200</f>
        <v>200</v>
      </c>
      <c r="BH200" s="15">
        <f>G200*AO200</f>
        <v>0</v>
      </c>
      <c r="BI200" s="15">
        <f>G200*AP200</f>
        <v>0</v>
      </c>
      <c r="BJ200" s="15">
        <f>G200*H200</f>
        <v>0</v>
      </c>
    </row>
    <row r="201" spans="1:62" x14ac:dyDescent="0.2">
      <c r="C201" s="57" t="s">
        <v>502</v>
      </c>
      <c r="D201" s="58"/>
      <c r="E201" s="58"/>
      <c r="G201" s="16">
        <v>270</v>
      </c>
    </row>
    <row r="202" spans="1:62" x14ac:dyDescent="0.2">
      <c r="A202" s="6" t="s">
        <v>51</v>
      </c>
      <c r="B202" s="6" t="s">
        <v>205</v>
      </c>
      <c r="C202" s="67" t="s">
        <v>505</v>
      </c>
      <c r="D202" s="68"/>
      <c r="E202" s="68"/>
      <c r="F202" s="6" t="s">
        <v>816</v>
      </c>
      <c r="G202" s="17">
        <v>270</v>
      </c>
      <c r="H202" s="17">
        <v>0</v>
      </c>
      <c r="I202" s="17">
        <f>G202*AO202</f>
        <v>0</v>
      </c>
      <c r="J202" s="17">
        <f>G202*AP202</f>
        <v>0</v>
      </c>
      <c r="K202" s="17">
        <f>G202*H202</f>
        <v>0</v>
      </c>
      <c r="L202" s="29" t="s">
        <v>839</v>
      </c>
      <c r="Z202" s="32">
        <f>IF(AQ202="5",BJ202,0)</f>
        <v>0</v>
      </c>
      <c r="AB202" s="32">
        <f>IF(AQ202="1",BH202,0)</f>
        <v>0</v>
      </c>
      <c r="AC202" s="32">
        <f>IF(AQ202="1",BI202,0)</f>
        <v>0</v>
      </c>
      <c r="AD202" s="32">
        <f>IF(AQ202="7",BH202,0)</f>
        <v>0</v>
      </c>
      <c r="AE202" s="32">
        <f>IF(AQ202="7",BI202,0)</f>
        <v>0</v>
      </c>
      <c r="AF202" s="32">
        <f>IF(AQ202="2",BH202,0)</f>
        <v>0</v>
      </c>
      <c r="AG202" s="32">
        <f>IF(AQ202="2",BI202,0)</f>
        <v>0</v>
      </c>
      <c r="AH202" s="32">
        <f>IF(AQ202="0",BJ202,0)</f>
        <v>0</v>
      </c>
      <c r="AI202" s="28"/>
      <c r="AJ202" s="17">
        <f>IF(AN202=0,K202,0)</f>
        <v>0</v>
      </c>
      <c r="AK202" s="17">
        <f>IF(AN202=15,K202,0)</f>
        <v>0</v>
      </c>
      <c r="AL202" s="17">
        <f>IF(AN202=21,K202,0)</f>
        <v>0</v>
      </c>
      <c r="AN202" s="32">
        <v>21</v>
      </c>
      <c r="AO202" s="32">
        <f>H202*1</f>
        <v>0</v>
      </c>
      <c r="AP202" s="32">
        <f>H202*(1-1)</f>
        <v>0</v>
      </c>
      <c r="AQ202" s="29" t="s">
        <v>13</v>
      </c>
      <c r="AV202" s="32">
        <f>AW202+AX202</f>
        <v>0</v>
      </c>
      <c r="AW202" s="32">
        <f>G202*AO202</f>
        <v>0</v>
      </c>
      <c r="AX202" s="32">
        <f>G202*AP202</f>
        <v>0</v>
      </c>
      <c r="AY202" s="33" t="s">
        <v>864</v>
      </c>
      <c r="AZ202" s="33" t="s">
        <v>886</v>
      </c>
      <c r="BA202" s="28" t="s">
        <v>891</v>
      </c>
      <c r="BC202" s="32">
        <f>AW202+AX202</f>
        <v>0</v>
      </c>
      <c r="BD202" s="32">
        <f>H202/(100-BE202)*100</f>
        <v>0</v>
      </c>
      <c r="BE202" s="32">
        <v>0</v>
      </c>
      <c r="BF202" s="32">
        <f>202</f>
        <v>202</v>
      </c>
      <c r="BH202" s="17">
        <f>G202*AO202</f>
        <v>0</v>
      </c>
      <c r="BI202" s="17">
        <f>G202*AP202</f>
        <v>0</v>
      </c>
      <c r="BJ202" s="17">
        <f>G202*H202</f>
        <v>0</v>
      </c>
    </row>
    <row r="203" spans="1:62" x14ac:dyDescent="0.2">
      <c r="C203" s="57" t="s">
        <v>506</v>
      </c>
      <c r="D203" s="58"/>
      <c r="E203" s="58"/>
      <c r="G203" s="16">
        <v>270</v>
      </c>
    </row>
    <row r="204" spans="1:62" x14ac:dyDescent="0.2">
      <c r="A204" s="4" t="s">
        <v>52</v>
      </c>
      <c r="B204" s="4" t="s">
        <v>206</v>
      </c>
      <c r="C204" s="59" t="s">
        <v>507</v>
      </c>
      <c r="D204" s="60"/>
      <c r="E204" s="60"/>
      <c r="F204" s="4" t="s">
        <v>820</v>
      </c>
      <c r="G204" s="15">
        <v>17</v>
      </c>
      <c r="H204" s="15">
        <v>0</v>
      </c>
      <c r="I204" s="15">
        <f>G204*AO204</f>
        <v>0</v>
      </c>
      <c r="J204" s="15">
        <f>G204*AP204</f>
        <v>0</v>
      </c>
      <c r="K204" s="15">
        <f>G204*H204</f>
        <v>0</v>
      </c>
      <c r="L204" s="27" t="s">
        <v>839</v>
      </c>
      <c r="Z204" s="32">
        <f>IF(AQ204="5",BJ204,0)</f>
        <v>0</v>
      </c>
      <c r="AB204" s="32">
        <f>IF(AQ204="1",BH204,0)</f>
        <v>0</v>
      </c>
      <c r="AC204" s="32">
        <f>IF(AQ204="1",BI204,0)</f>
        <v>0</v>
      </c>
      <c r="AD204" s="32">
        <f>IF(AQ204="7",BH204,0)</f>
        <v>0</v>
      </c>
      <c r="AE204" s="32">
        <f>IF(AQ204="7",BI204,0)</f>
        <v>0</v>
      </c>
      <c r="AF204" s="32">
        <f>IF(AQ204="2",BH204,0)</f>
        <v>0</v>
      </c>
      <c r="AG204" s="32">
        <f>IF(AQ204="2",BI204,0)</f>
        <v>0</v>
      </c>
      <c r="AH204" s="32">
        <f>IF(AQ204="0",BJ204,0)</f>
        <v>0</v>
      </c>
      <c r="AI204" s="28"/>
      <c r="AJ204" s="15">
        <f>IF(AN204=0,K204,0)</f>
        <v>0</v>
      </c>
      <c r="AK204" s="15">
        <f>IF(AN204=15,K204,0)</f>
        <v>0</v>
      </c>
      <c r="AL204" s="15">
        <f>IF(AN204=21,K204,0)</f>
        <v>0</v>
      </c>
      <c r="AN204" s="32">
        <v>21</v>
      </c>
      <c r="AO204" s="32">
        <f>H204*0.805323743819259</f>
        <v>0</v>
      </c>
      <c r="AP204" s="32">
        <f>H204*(1-0.805323743819259)</f>
        <v>0</v>
      </c>
      <c r="AQ204" s="27" t="s">
        <v>13</v>
      </c>
      <c r="AV204" s="32">
        <f>AW204+AX204</f>
        <v>0</v>
      </c>
      <c r="AW204" s="32">
        <f>G204*AO204</f>
        <v>0</v>
      </c>
      <c r="AX204" s="32">
        <f>G204*AP204</f>
        <v>0</v>
      </c>
      <c r="AY204" s="33" t="s">
        <v>864</v>
      </c>
      <c r="AZ204" s="33" t="s">
        <v>886</v>
      </c>
      <c r="BA204" s="28" t="s">
        <v>891</v>
      </c>
      <c r="BC204" s="32">
        <f>AW204+AX204</f>
        <v>0</v>
      </c>
      <c r="BD204" s="32">
        <f>H204/(100-BE204)*100</f>
        <v>0</v>
      </c>
      <c r="BE204" s="32">
        <v>0</v>
      </c>
      <c r="BF204" s="32">
        <f>204</f>
        <v>204</v>
      </c>
      <c r="BH204" s="15">
        <f>G204*AO204</f>
        <v>0</v>
      </c>
      <c r="BI204" s="15">
        <f>G204*AP204</f>
        <v>0</v>
      </c>
      <c r="BJ204" s="15">
        <f>G204*H204</f>
        <v>0</v>
      </c>
    </row>
    <row r="205" spans="1:62" x14ac:dyDescent="0.2">
      <c r="C205" s="57" t="s">
        <v>508</v>
      </c>
      <c r="D205" s="58"/>
      <c r="E205" s="58"/>
      <c r="G205" s="16">
        <v>17</v>
      </c>
    </row>
    <row r="206" spans="1:62" x14ac:dyDescent="0.2">
      <c r="A206" s="4" t="s">
        <v>53</v>
      </c>
      <c r="B206" s="4" t="s">
        <v>207</v>
      </c>
      <c r="C206" s="59" t="s">
        <v>509</v>
      </c>
      <c r="D206" s="60"/>
      <c r="E206" s="60"/>
      <c r="F206" s="4" t="s">
        <v>820</v>
      </c>
      <c r="G206" s="15">
        <v>8</v>
      </c>
      <c r="H206" s="15">
        <v>0</v>
      </c>
      <c r="I206" s="15">
        <f>G206*AO206</f>
        <v>0</v>
      </c>
      <c r="J206" s="15">
        <f>G206*AP206</f>
        <v>0</v>
      </c>
      <c r="K206" s="15">
        <f>G206*H206</f>
        <v>0</v>
      </c>
      <c r="L206" s="27"/>
      <c r="Z206" s="32">
        <f>IF(AQ206="5",BJ206,0)</f>
        <v>0</v>
      </c>
      <c r="AB206" s="32">
        <f>IF(AQ206="1",BH206,0)</f>
        <v>0</v>
      </c>
      <c r="AC206" s="32">
        <f>IF(AQ206="1",BI206,0)</f>
        <v>0</v>
      </c>
      <c r="AD206" s="32">
        <f>IF(AQ206="7",BH206,0)</f>
        <v>0</v>
      </c>
      <c r="AE206" s="32">
        <f>IF(AQ206="7",BI206,0)</f>
        <v>0</v>
      </c>
      <c r="AF206" s="32">
        <f>IF(AQ206="2",BH206,0)</f>
        <v>0</v>
      </c>
      <c r="AG206" s="32">
        <f>IF(AQ206="2",BI206,0)</f>
        <v>0</v>
      </c>
      <c r="AH206" s="32">
        <f>IF(AQ206="0",BJ206,0)</f>
        <v>0</v>
      </c>
      <c r="AI206" s="28"/>
      <c r="AJ206" s="15">
        <f>IF(AN206=0,K206,0)</f>
        <v>0</v>
      </c>
      <c r="AK206" s="15">
        <f>IF(AN206=15,K206,0)</f>
        <v>0</v>
      </c>
      <c r="AL206" s="15">
        <f>IF(AN206=21,K206,0)</f>
        <v>0</v>
      </c>
      <c r="AN206" s="32">
        <v>21</v>
      </c>
      <c r="AO206" s="32">
        <f>H206*0.714285714285714</f>
        <v>0</v>
      </c>
      <c r="AP206" s="32">
        <f>H206*(1-0.714285714285714)</f>
        <v>0</v>
      </c>
      <c r="AQ206" s="27" t="s">
        <v>13</v>
      </c>
      <c r="AV206" s="32">
        <f>AW206+AX206</f>
        <v>0</v>
      </c>
      <c r="AW206" s="32">
        <f>G206*AO206</f>
        <v>0</v>
      </c>
      <c r="AX206" s="32">
        <f>G206*AP206</f>
        <v>0</v>
      </c>
      <c r="AY206" s="33" t="s">
        <v>864</v>
      </c>
      <c r="AZ206" s="33" t="s">
        <v>886</v>
      </c>
      <c r="BA206" s="28" t="s">
        <v>891</v>
      </c>
      <c r="BC206" s="32">
        <f>AW206+AX206</f>
        <v>0</v>
      </c>
      <c r="BD206" s="32">
        <f>H206/(100-BE206)*100</f>
        <v>0</v>
      </c>
      <c r="BE206" s="32">
        <v>0</v>
      </c>
      <c r="BF206" s="32">
        <f>206</f>
        <v>206</v>
      </c>
      <c r="BH206" s="15">
        <f>G206*AO206</f>
        <v>0</v>
      </c>
      <c r="BI206" s="15">
        <f>G206*AP206</f>
        <v>0</v>
      </c>
      <c r="BJ206" s="15">
        <f>G206*H206</f>
        <v>0</v>
      </c>
    </row>
    <row r="207" spans="1:62" x14ac:dyDescent="0.2">
      <c r="C207" s="57" t="s">
        <v>510</v>
      </c>
      <c r="D207" s="58"/>
      <c r="E207" s="58"/>
      <c r="G207" s="16">
        <v>8</v>
      </c>
    </row>
    <row r="208" spans="1:62" x14ac:dyDescent="0.2">
      <c r="A208" s="4" t="s">
        <v>54</v>
      </c>
      <c r="B208" s="4" t="s">
        <v>208</v>
      </c>
      <c r="C208" s="59" t="s">
        <v>511</v>
      </c>
      <c r="D208" s="60"/>
      <c r="E208" s="60"/>
      <c r="F208" s="4" t="s">
        <v>817</v>
      </c>
      <c r="G208" s="15">
        <v>1236</v>
      </c>
      <c r="H208" s="15">
        <v>0</v>
      </c>
      <c r="I208" s="15">
        <f>G208*AO208</f>
        <v>0</v>
      </c>
      <c r="J208" s="15">
        <f>G208*AP208</f>
        <v>0</v>
      </c>
      <c r="K208" s="15">
        <f>G208*H208</f>
        <v>0</v>
      </c>
      <c r="L208" s="27" t="s">
        <v>839</v>
      </c>
      <c r="Z208" s="32">
        <f>IF(AQ208="5",BJ208,0)</f>
        <v>0</v>
      </c>
      <c r="AB208" s="32">
        <f>IF(AQ208="1",BH208,0)</f>
        <v>0</v>
      </c>
      <c r="AC208" s="32">
        <f>IF(AQ208="1",BI208,0)</f>
        <v>0</v>
      </c>
      <c r="AD208" s="32">
        <f>IF(AQ208="7",BH208,0)</f>
        <v>0</v>
      </c>
      <c r="AE208" s="32">
        <f>IF(AQ208="7",BI208,0)</f>
        <v>0</v>
      </c>
      <c r="AF208" s="32">
        <f>IF(AQ208="2",BH208,0)</f>
        <v>0</v>
      </c>
      <c r="AG208" s="32">
        <f>IF(AQ208="2",BI208,0)</f>
        <v>0</v>
      </c>
      <c r="AH208" s="32">
        <f>IF(AQ208="0",BJ208,0)</f>
        <v>0</v>
      </c>
      <c r="AI208" s="28"/>
      <c r="AJ208" s="15">
        <f>IF(AN208=0,K208,0)</f>
        <v>0</v>
      </c>
      <c r="AK208" s="15">
        <f>IF(AN208=15,K208,0)</f>
        <v>0</v>
      </c>
      <c r="AL208" s="15">
        <f>IF(AN208=21,K208,0)</f>
        <v>0</v>
      </c>
      <c r="AN208" s="32">
        <v>21</v>
      </c>
      <c r="AO208" s="32">
        <f>H208*0</f>
        <v>0</v>
      </c>
      <c r="AP208" s="32">
        <f>H208*(1-0)</f>
        <v>0</v>
      </c>
      <c r="AQ208" s="27" t="s">
        <v>13</v>
      </c>
      <c r="AV208" s="32">
        <f>AW208+AX208</f>
        <v>0</v>
      </c>
      <c r="AW208" s="32">
        <f>G208*AO208</f>
        <v>0</v>
      </c>
      <c r="AX208" s="32">
        <f>G208*AP208</f>
        <v>0</v>
      </c>
      <c r="AY208" s="33" t="s">
        <v>864</v>
      </c>
      <c r="AZ208" s="33" t="s">
        <v>886</v>
      </c>
      <c r="BA208" s="28" t="s">
        <v>891</v>
      </c>
      <c r="BC208" s="32">
        <f>AW208+AX208</f>
        <v>0</v>
      </c>
      <c r="BD208" s="32">
        <f>H208/(100-BE208)*100</f>
        <v>0</v>
      </c>
      <c r="BE208" s="32">
        <v>0</v>
      </c>
      <c r="BF208" s="32">
        <f>208</f>
        <v>208</v>
      </c>
      <c r="BH208" s="15">
        <f>G208*AO208</f>
        <v>0</v>
      </c>
      <c r="BI208" s="15">
        <f>G208*AP208</f>
        <v>0</v>
      </c>
      <c r="BJ208" s="15">
        <f>G208*H208</f>
        <v>0</v>
      </c>
    </row>
    <row r="209" spans="1:62" x14ac:dyDescent="0.2">
      <c r="C209" s="57" t="s">
        <v>512</v>
      </c>
      <c r="D209" s="58"/>
      <c r="E209" s="58"/>
      <c r="G209" s="16">
        <v>1236</v>
      </c>
    </row>
    <row r="210" spans="1:62" x14ac:dyDescent="0.2">
      <c r="A210" s="6" t="s">
        <v>55</v>
      </c>
      <c r="B210" s="6" t="s">
        <v>209</v>
      </c>
      <c r="C210" s="67" t="s">
        <v>947</v>
      </c>
      <c r="D210" s="68"/>
      <c r="E210" s="68"/>
      <c r="F210" s="6" t="s">
        <v>817</v>
      </c>
      <c r="G210" s="17">
        <v>1297.8</v>
      </c>
      <c r="H210" s="17">
        <v>0</v>
      </c>
      <c r="I210" s="17">
        <f>G210*AO210</f>
        <v>0</v>
      </c>
      <c r="J210" s="17">
        <f>G210*AP210</f>
        <v>0</v>
      </c>
      <c r="K210" s="17">
        <f>G210*H210</f>
        <v>0</v>
      </c>
      <c r="L210" s="29" t="s">
        <v>841</v>
      </c>
      <c r="Z210" s="32">
        <f>IF(AQ210="5",BJ210,0)</f>
        <v>0</v>
      </c>
      <c r="AB210" s="32">
        <f>IF(AQ210="1",BH210,0)</f>
        <v>0</v>
      </c>
      <c r="AC210" s="32">
        <f>IF(AQ210="1",BI210,0)</f>
        <v>0</v>
      </c>
      <c r="AD210" s="32">
        <f>IF(AQ210="7",BH210,0)</f>
        <v>0</v>
      </c>
      <c r="AE210" s="32">
        <f>IF(AQ210="7",BI210,0)</f>
        <v>0</v>
      </c>
      <c r="AF210" s="32">
        <f>IF(AQ210="2",BH210,0)</f>
        <v>0</v>
      </c>
      <c r="AG210" s="32">
        <f>IF(AQ210="2",BI210,0)</f>
        <v>0</v>
      </c>
      <c r="AH210" s="32">
        <f>IF(AQ210="0",BJ210,0)</f>
        <v>0</v>
      </c>
      <c r="AI210" s="28"/>
      <c r="AJ210" s="17">
        <f>IF(AN210=0,K210,0)</f>
        <v>0</v>
      </c>
      <c r="AK210" s="17">
        <f>IF(AN210=15,K210,0)</f>
        <v>0</v>
      </c>
      <c r="AL210" s="17">
        <f>IF(AN210=21,K210,0)</f>
        <v>0</v>
      </c>
      <c r="AN210" s="32">
        <v>21</v>
      </c>
      <c r="AO210" s="32">
        <f>H210*1</f>
        <v>0</v>
      </c>
      <c r="AP210" s="32">
        <f>H210*(1-1)</f>
        <v>0</v>
      </c>
      <c r="AQ210" s="29" t="s">
        <v>13</v>
      </c>
      <c r="AV210" s="32">
        <f>AW210+AX210</f>
        <v>0</v>
      </c>
      <c r="AW210" s="32">
        <f>G210*AO210</f>
        <v>0</v>
      </c>
      <c r="AX210" s="32">
        <f>G210*AP210</f>
        <v>0</v>
      </c>
      <c r="AY210" s="33" t="s">
        <v>864</v>
      </c>
      <c r="AZ210" s="33" t="s">
        <v>886</v>
      </c>
      <c r="BA210" s="28" t="s">
        <v>891</v>
      </c>
      <c r="BC210" s="32">
        <f>AW210+AX210</f>
        <v>0</v>
      </c>
      <c r="BD210" s="32">
        <f>H210/(100-BE210)*100</f>
        <v>0</v>
      </c>
      <c r="BE210" s="32">
        <v>0</v>
      </c>
      <c r="BF210" s="32">
        <f>210</f>
        <v>210</v>
      </c>
      <c r="BH210" s="17">
        <f>G210*AO210</f>
        <v>0</v>
      </c>
      <c r="BI210" s="17">
        <f>G210*AP210</f>
        <v>0</v>
      </c>
      <c r="BJ210" s="17">
        <f>G210*H210</f>
        <v>0</v>
      </c>
    </row>
    <row r="211" spans="1:62" x14ac:dyDescent="0.2">
      <c r="C211" s="57" t="s">
        <v>513</v>
      </c>
      <c r="D211" s="58"/>
      <c r="E211" s="58"/>
      <c r="G211" s="16">
        <v>1297.8</v>
      </c>
    </row>
    <row r="212" spans="1:62" x14ac:dyDescent="0.2">
      <c r="A212" s="4" t="s">
        <v>56</v>
      </c>
      <c r="B212" s="4" t="s">
        <v>210</v>
      </c>
      <c r="C212" s="59" t="s">
        <v>514</v>
      </c>
      <c r="D212" s="60"/>
      <c r="E212" s="60"/>
      <c r="F212" s="4" t="s">
        <v>817</v>
      </c>
      <c r="G212" s="15">
        <v>1236</v>
      </c>
      <c r="H212" s="15">
        <v>0</v>
      </c>
      <c r="I212" s="15">
        <f>G212*AO212</f>
        <v>0</v>
      </c>
      <c r="J212" s="15">
        <f>G212*AP212</f>
        <v>0</v>
      </c>
      <c r="K212" s="15">
        <f>G212*H212</f>
        <v>0</v>
      </c>
      <c r="L212" s="27" t="s">
        <v>841</v>
      </c>
      <c r="Z212" s="32">
        <f>IF(AQ212="5",BJ212,0)</f>
        <v>0</v>
      </c>
      <c r="AB212" s="32">
        <f>IF(AQ212="1",BH212,0)</f>
        <v>0</v>
      </c>
      <c r="AC212" s="32">
        <f>IF(AQ212="1",BI212,0)</f>
        <v>0</v>
      </c>
      <c r="AD212" s="32">
        <f>IF(AQ212="7",BH212,0)</f>
        <v>0</v>
      </c>
      <c r="AE212" s="32">
        <f>IF(AQ212="7",BI212,0)</f>
        <v>0</v>
      </c>
      <c r="AF212" s="32">
        <f>IF(AQ212="2",BH212,0)</f>
        <v>0</v>
      </c>
      <c r="AG212" s="32">
        <f>IF(AQ212="2",BI212,0)</f>
        <v>0</v>
      </c>
      <c r="AH212" s="32">
        <f>IF(AQ212="0",BJ212,0)</f>
        <v>0</v>
      </c>
      <c r="AI212" s="28"/>
      <c r="AJ212" s="15">
        <f>IF(AN212=0,K212,0)</f>
        <v>0</v>
      </c>
      <c r="AK212" s="15">
        <f>IF(AN212=15,K212,0)</f>
        <v>0</v>
      </c>
      <c r="AL212" s="15">
        <f>IF(AN212=21,K212,0)</f>
        <v>0</v>
      </c>
      <c r="AN212" s="32">
        <v>21</v>
      </c>
      <c r="AO212" s="32">
        <f>H212*0</f>
        <v>0</v>
      </c>
      <c r="AP212" s="32">
        <f>H212*(1-0)</f>
        <v>0</v>
      </c>
      <c r="AQ212" s="27" t="s">
        <v>13</v>
      </c>
      <c r="AV212" s="32">
        <f>AW212+AX212</f>
        <v>0</v>
      </c>
      <c r="AW212" s="32">
        <f>G212*AO212</f>
        <v>0</v>
      </c>
      <c r="AX212" s="32">
        <f>G212*AP212</f>
        <v>0</v>
      </c>
      <c r="AY212" s="33" t="s">
        <v>864</v>
      </c>
      <c r="AZ212" s="33" t="s">
        <v>886</v>
      </c>
      <c r="BA212" s="28" t="s">
        <v>891</v>
      </c>
      <c r="BC212" s="32">
        <f>AW212+AX212</f>
        <v>0</v>
      </c>
      <c r="BD212" s="32">
        <f>H212/(100-BE212)*100</f>
        <v>0</v>
      </c>
      <c r="BE212" s="32">
        <v>0</v>
      </c>
      <c r="BF212" s="32">
        <f>212</f>
        <v>212</v>
      </c>
      <c r="BH212" s="15">
        <f>G212*AO212</f>
        <v>0</v>
      </c>
      <c r="BI212" s="15">
        <f>G212*AP212</f>
        <v>0</v>
      </c>
      <c r="BJ212" s="15">
        <f>G212*H212</f>
        <v>0</v>
      </c>
    </row>
    <row r="213" spans="1:62" x14ac:dyDescent="0.2">
      <c r="C213" s="57" t="s">
        <v>945</v>
      </c>
      <c r="D213" s="58"/>
      <c r="E213" s="58"/>
      <c r="G213" s="16">
        <v>1236</v>
      </c>
    </row>
    <row r="214" spans="1:62" x14ac:dyDescent="0.2">
      <c r="A214" s="6" t="s">
        <v>57</v>
      </c>
      <c r="B214" s="6" t="s">
        <v>211</v>
      </c>
      <c r="C214" s="67" t="s">
        <v>946</v>
      </c>
      <c r="D214" s="68"/>
      <c r="E214" s="68"/>
      <c r="F214" s="6" t="s">
        <v>817</v>
      </c>
      <c r="G214" s="17">
        <v>1297.8</v>
      </c>
      <c r="H214" s="17">
        <v>0</v>
      </c>
      <c r="I214" s="17">
        <f>G214*AO214</f>
        <v>0</v>
      </c>
      <c r="J214" s="17">
        <f>G214*AP214</f>
        <v>0</v>
      </c>
      <c r="K214" s="17">
        <f>G214*H214</f>
        <v>0</v>
      </c>
      <c r="L214" s="29" t="s">
        <v>841</v>
      </c>
      <c r="Z214" s="32">
        <f>IF(AQ214="5",BJ214,0)</f>
        <v>0</v>
      </c>
      <c r="AB214" s="32">
        <f>IF(AQ214="1",BH214,0)</f>
        <v>0</v>
      </c>
      <c r="AC214" s="32">
        <f>IF(AQ214="1",BI214,0)</f>
        <v>0</v>
      </c>
      <c r="AD214" s="32">
        <f>IF(AQ214="7",BH214,0)</f>
        <v>0</v>
      </c>
      <c r="AE214" s="32">
        <f>IF(AQ214="7",BI214,0)</f>
        <v>0</v>
      </c>
      <c r="AF214" s="32">
        <f>IF(AQ214="2",BH214,0)</f>
        <v>0</v>
      </c>
      <c r="AG214" s="32">
        <f>IF(AQ214="2",BI214,0)</f>
        <v>0</v>
      </c>
      <c r="AH214" s="32">
        <f>IF(AQ214="0",BJ214,0)</f>
        <v>0</v>
      </c>
      <c r="AI214" s="28"/>
      <c r="AJ214" s="17">
        <f>IF(AN214=0,K214,0)</f>
        <v>0</v>
      </c>
      <c r="AK214" s="17">
        <f>IF(AN214=15,K214,0)</f>
        <v>0</v>
      </c>
      <c r="AL214" s="17">
        <f>IF(AN214=21,K214,0)</f>
        <v>0</v>
      </c>
      <c r="AN214" s="32">
        <v>21</v>
      </c>
      <c r="AO214" s="32">
        <f>H214*1</f>
        <v>0</v>
      </c>
      <c r="AP214" s="32">
        <f>H214*(1-1)</f>
        <v>0</v>
      </c>
      <c r="AQ214" s="29" t="s">
        <v>13</v>
      </c>
      <c r="AV214" s="32">
        <f>AW214+AX214</f>
        <v>0</v>
      </c>
      <c r="AW214" s="32">
        <f>G214*AO214</f>
        <v>0</v>
      </c>
      <c r="AX214" s="32">
        <f>G214*AP214</f>
        <v>0</v>
      </c>
      <c r="AY214" s="33" t="s">
        <v>864</v>
      </c>
      <c r="AZ214" s="33" t="s">
        <v>886</v>
      </c>
      <c r="BA214" s="28" t="s">
        <v>891</v>
      </c>
      <c r="BC214" s="32">
        <f>AW214+AX214</f>
        <v>0</v>
      </c>
      <c r="BD214" s="32">
        <f>H214/(100-BE214)*100</f>
        <v>0</v>
      </c>
      <c r="BE214" s="32">
        <v>0</v>
      </c>
      <c r="BF214" s="32">
        <f>214</f>
        <v>214</v>
      </c>
      <c r="BH214" s="17">
        <f>G214*AO214</f>
        <v>0</v>
      </c>
      <c r="BI214" s="17">
        <f>G214*AP214</f>
        <v>0</v>
      </c>
      <c r="BJ214" s="17">
        <f>G214*H214</f>
        <v>0</v>
      </c>
    </row>
    <row r="215" spans="1:62" x14ac:dyDescent="0.2">
      <c r="C215" s="57" t="s">
        <v>513</v>
      </c>
      <c r="D215" s="58"/>
      <c r="E215" s="58"/>
      <c r="G215" s="16">
        <v>1297.8</v>
      </c>
    </row>
    <row r="216" spans="1:62" x14ac:dyDescent="0.2">
      <c r="A216" s="4" t="s">
        <v>58</v>
      </c>
      <c r="B216" s="4" t="s">
        <v>212</v>
      </c>
      <c r="C216" s="59" t="s">
        <v>515</v>
      </c>
      <c r="D216" s="60"/>
      <c r="E216" s="60"/>
      <c r="F216" s="4" t="s">
        <v>817</v>
      </c>
      <c r="G216" s="15">
        <v>1236</v>
      </c>
      <c r="H216" s="15">
        <v>0</v>
      </c>
      <c r="I216" s="15">
        <f>G216*AO216</f>
        <v>0</v>
      </c>
      <c r="J216" s="15">
        <f>G216*AP216</f>
        <v>0</v>
      </c>
      <c r="K216" s="15">
        <f>G216*H216</f>
        <v>0</v>
      </c>
      <c r="L216" s="27" t="s">
        <v>841</v>
      </c>
      <c r="Z216" s="32">
        <f>IF(AQ216="5",BJ216,0)</f>
        <v>0</v>
      </c>
      <c r="AB216" s="32">
        <f>IF(AQ216="1",BH216,0)</f>
        <v>0</v>
      </c>
      <c r="AC216" s="32">
        <f>IF(AQ216="1",BI216,0)</f>
        <v>0</v>
      </c>
      <c r="AD216" s="32">
        <f>IF(AQ216="7",BH216,0)</f>
        <v>0</v>
      </c>
      <c r="AE216" s="32">
        <f>IF(AQ216="7",BI216,0)</f>
        <v>0</v>
      </c>
      <c r="AF216" s="32">
        <f>IF(AQ216="2",BH216,0)</f>
        <v>0</v>
      </c>
      <c r="AG216" s="32">
        <f>IF(AQ216="2",BI216,0)</f>
        <v>0</v>
      </c>
      <c r="AH216" s="32">
        <f>IF(AQ216="0",BJ216,0)</f>
        <v>0</v>
      </c>
      <c r="AI216" s="28"/>
      <c r="AJ216" s="15">
        <f>IF(AN216=0,K216,0)</f>
        <v>0</v>
      </c>
      <c r="AK216" s="15">
        <f>IF(AN216=15,K216,0)</f>
        <v>0</v>
      </c>
      <c r="AL216" s="15">
        <f>IF(AN216=21,K216,0)</f>
        <v>0</v>
      </c>
      <c r="AN216" s="32">
        <v>21</v>
      </c>
      <c r="AO216" s="32">
        <f>H216*0</f>
        <v>0</v>
      </c>
      <c r="AP216" s="32">
        <f>H216*(1-0)</f>
        <v>0</v>
      </c>
      <c r="AQ216" s="27" t="s">
        <v>13</v>
      </c>
      <c r="AV216" s="32">
        <f>AW216+AX216</f>
        <v>0</v>
      </c>
      <c r="AW216" s="32">
        <f>G216*AO216</f>
        <v>0</v>
      </c>
      <c r="AX216" s="32">
        <f>G216*AP216</f>
        <v>0</v>
      </c>
      <c r="AY216" s="33" t="s">
        <v>864</v>
      </c>
      <c r="AZ216" s="33" t="s">
        <v>886</v>
      </c>
      <c r="BA216" s="28" t="s">
        <v>891</v>
      </c>
      <c r="BC216" s="32">
        <f>AW216+AX216</f>
        <v>0</v>
      </c>
      <c r="BD216" s="32">
        <f>H216/(100-BE216)*100</f>
        <v>0</v>
      </c>
      <c r="BE216" s="32">
        <v>0</v>
      </c>
      <c r="BF216" s="32">
        <f>216</f>
        <v>216</v>
      </c>
      <c r="BH216" s="15">
        <f>G216*AO216</f>
        <v>0</v>
      </c>
      <c r="BI216" s="15">
        <f>G216*AP216</f>
        <v>0</v>
      </c>
      <c r="BJ216" s="15">
        <f>G216*H216</f>
        <v>0</v>
      </c>
    </row>
    <row r="217" spans="1:62" x14ac:dyDescent="0.2">
      <c r="C217" s="57" t="s">
        <v>512</v>
      </c>
      <c r="D217" s="58"/>
      <c r="E217" s="58"/>
      <c r="G217" s="16">
        <v>1236</v>
      </c>
    </row>
    <row r="218" spans="1:62" x14ac:dyDescent="0.2">
      <c r="A218" s="6" t="s">
        <v>59</v>
      </c>
      <c r="B218" s="6" t="s">
        <v>213</v>
      </c>
      <c r="C218" s="67" t="s">
        <v>948</v>
      </c>
      <c r="D218" s="68"/>
      <c r="E218" s="68"/>
      <c r="F218" s="6" t="s">
        <v>817</v>
      </c>
      <c r="G218" s="17">
        <v>1297.8</v>
      </c>
      <c r="H218" s="17">
        <v>0</v>
      </c>
      <c r="I218" s="17">
        <f>G218*AO218</f>
        <v>0</v>
      </c>
      <c r="J218" s="17">
        <f>G218*AP218</f>
        <v>0</v>
      </c>
      <c r="K218" s="17">
        <f>G218*H218</f>
        <v>0</v>
      </c>
      <c r="L218" s="29" t="s">
        <v>841</v>
      </c>
      <c r="Z218" s="32">
        <f>IF(AQ218="5",BJ218,0)</f>
        <v>0</v>
      </c>
      <c r="AB218" s="32">
        <f>IF(AQ218="1",BH218,0)</f>
        <v>0</v>
      </c>
      <c r="AC218" s="32">
        <f>IF(AQ218="1",BI218,0)</f>
        <v>0</v>
      </c>
      <c r="AD218" s="32">
        <f>IF(AQ218="7",BH218,0)</f>
        <v>0</v>
      </c>
      <c r="AE218" s="32">
        <f>IF(AQ218="7",BI218,0)</f>
        <v>0</v>
      </c>
      <c r="AF218" s="32">
        <f>IF(AQ218="2",BH218,0)</f>
        <v>0</v>
      </c>
      <c r="AG218" s="32">
        <f>IF(AQ218="2",BI218,0)</f>
        <v>0</v>
      </c>
      <c r="AH218" s="32">
        <f>IF(AQ218="0",BJ218,0)</f>
        <v>0</v>
      </c>
      <c r="AI218" s="28"/>
      <c r="AJ218" s="17">
        <f>IF(AN218=0,K218,0)</f>
        <v>0</v>
      </c>
      <c r="AK218" s="17">
        <f>IF(AN218=15,K218,0)</f>
        <v>0</v>
      </c>
      <c r="AL218" s="17">
        <f>IF(AN218=21,K218,0)</f>
        <v>0</v>
      </c>
      <c r="AN218" s="32">
        <v>21</v>
      </c>
      <c r="AO218" s="32">
        <f>H218*1</f>
        <v>0</v>
      </c>
      <c r="AP218" s="32">
        <f>H218*(1-1)</f>
        <v>0</v>
      </c>
      <c r="AQ218" s="29" t="s">
        <v>13</v>
      </c>
      <c r="AV218" s="32">
        <f>AW218+AX218</f>
        <v>0</v>
      </c>
      <c r="AW218" s="32">
        <f>G218*AO218</f>
        <v>0</v>
      </c>
      <c r="AX218" s="32">
        <f>G218*AP218</f>
        <v>0</v>
      </c>
      <c r="AY218" s="33" t="s">
        <v>864</v>
      </c>
      <c r="AZ218" s="33" t="s">
        <v>886</v>
      </c>
      <c r="BA218" s="28" t="s">
        <v>891</v>
      </c>
      <c r="BC218" s="32">
        <f>AW218+AX218</f>
        <v>0</v>
      </c>
      <c r="BD218" s="32">
        <f>H218/(100-BE218)*100</f>
        <v>0</v>
      </c>
      <c r="BE218" s="32">
        <v>0</v>
      </c>
      <c r="BF218" s="32">
        <f>218</f>
        <v>218</v>
      </c>
      <c r="BH218" s="17">
        <f>G218*AO218</f>
        <v>0</v>
      </c>
      <c r="BI218" s="17">
        <f>G218*AP218</f>
        <v>0</v>
      </c>
      <c r="BJ218" s="17">
        <f>G218*H218</f>
        <v>0</v>
      </c>
    </row>
    <row r="219" spans="1:62" x14ac:dyDescent="0.2">
      <c r="C219" s="57" t="s">
        <v>513</v>
      </c>
      <c r="D219" s="58"/>
      <c r="E219" s="58"/>
      <c r="G219" s="16">
        <v>1297.8</v>
      </c>
    </row>
    <row r="220" spans="1:62" x14ac:dyDescent="0.2">
      <c r="A220" s="4" t="s">
        <v>60</v>
      </c>
      <c r="B220" s="4" t="s">
        <v>214</v>
      </c>
      <c r="C220" s="59" t="s">
        <v>516</v>
      </c>
      <c r="D220" s="60"/>
      <c r="E220" s="60"/>
      <c r="F220" s="4" t="s">
        <v>821</v>
      </c>
      <c r="G220" s="15">
        <v>8.8597699999999993</v>
      </c>
      <c r="H220" s="15">
        <v>0</v>
      </c>
      <c r="I220" s="15">
        <f>G220*AO220</f>
        <v>0</v>
      </c>
      <c r="J220" s="15">
        <f>G220*AP220</f>
        <v>0</v>
      </c>
      <c r="K220" s="15">
        <f>G220*H220</f>
        <v>0</v>
      </c>
      <c r="L220" s="27" t="s">
        <v>839</v>
      </c>
      <c r="Z220" s="32">
        <f>IF(AQ220="5",BJ220,0)</f>
        <v>0</v>
      </c>
      <c r="AB220" s="32">
        <f>IF(AQ220="1",BH220,0)</f>
        <v>0</v>
      </c>
      <c r="AC220" s="32">
        <f>IF(AQ220="1",BI220,0)</f>
        <v>0</v>
      </c>
      <c r="AD220" s="32">
        <f>IF(AQ220="7",BH220,0)</f>
        <v>0</v>
      </c>
      <c r="AE220" s="32">
        <f>IF(AQ220="7",BI220,0)</f>
        <v>0</v>
      </c>
      <c r="AF220" s="32">
        <f>IF(AQ220="2",BH220,0)</f>
        <v>0</v>
      </c>
      <c r="AG220" s="32">
        <f>IF(AQ220="2",BI220,0)</f>
        <v>0</v>
      </c>
      <c r="AH220" s="32">
        <f>IF(AQ220="0",BJ220,0)</f>
        <v>0</v>
      </c>
      <c r="AI220" s="28"/>
      <c r="AJ220" s="15">
        <f>IF(AN220=0,K220,0)</f>
        <v>0</v>
      </c>
      <c r="AK220" s="15">
        <f>IF(AN220=15,K220,0)</f>
        <v>0</v>
      </c>
      <c r="AL220" s="15">
        <f>IF(AN220=21,K220,0)</f>
        <v>0</v>
      </c>
      <c r="AN220" s="32">
        <v>21</v>
      </c>
      <c r="AO220" s="32">
        <f>H220*0</f>
        <v>0</v>
      </c>
      <c r="AP220" s="32">
        <f>H220*(1-0)</f>
        <v>0</v>
      </c>
      <c r="AQ220" s="27" t="s">
        <v>11</v>
      </c>
      <c r="AV220" s="32">
        <f>AW220+AX220</f>
        <v>0</v>
      </c>
      <c r="AW220" s="32">
        <f>G220*AO220</f>
        <v>0</v>
      </c>
      <c r="AX220" s="32">
        <f>G220*AP220</f>
        <v>0</v>
      </c>
      <c r="AY220" s="33" t="s">
        <v>864</v>
      </c>
      <c r="AZ220" s="33" t="s">
        <v>886</v>
      </c>
      <c r="BA220" s="28" t="s">
        <v>891</v>
      </c>
      <c r="BC220" s="32">
        <f>AW220+AX220</f>
        <v>0</v>
      </c>
      <c r="BD220" s="32">
        <f>H220/(100-BE220)*100</f>
        <v>0</v>
      </c>
      <c r="BE220" s="32">
        <v>0</v>
      </c>
      <c r="BF220" s="32">
        <f>220</f>
        <v>220</v>
      </c>
      <c r="BH220" s="15">
        <f>G220*AO220</f>
        <v>0</v>
      </c>
      <c r="BI220" s="15">
        <f>G220*AP220</f>
        <v>0</v>
      </c>
      <c r="BJ220" s="15">
        <f>G220*H220</f>
        <v>0</v>
      </c>
    </row>
    <row r="221" spans="1:62" x14ac:dyDescent="0.2">
      <c r="C221" s="57" t="s">
        <v>517</v>
      </c>
      <c r="D221" s="58"/>
      <c r="E221" s="58"/>
      <c r="G221" s="16">
        <v>8.8597699999999993</v>
      </c>
    </row>
    <row r="222" spans="1:62" x14ac:dyDescent="0.2">
      <c r="A222" s="5"/>
      <c r="B222" s="13" t="s">
        <v>215</v>
      </c>
      <c r="C222" s="65" t="s">
        <v>518</v>
      </c>
      <c r="D222" s="66"/>
      <c r="E222" s="66"/>
      <c r="F222" s="5" t="s">
        <v>6</v>
      </c>
      <c r="G222" s="5" t="s">
        <v>6</v>
      </c>
      <c r="H222" s="5" t="s">
        <v>6</v>
      </c>
      <c r="I222" s="35">
        <f>SUM(I223:I234)</f>
        <v>0</v>
      </c>
      <c r="J222" s="35">
        <f>SUM(J223:J234)</f>
        <v>0</v>
      </c>
      <c r="K222" s="35">
        <f>SUM(K223:K234)</f>
        <v>0</v>
      </c>
      <c r="L222" s="28"/>
      <c r="AI222" s="28"/>
      <c r="AS222" s="35">
        <f>SUM(AJ223:AJ234)</f>
        <v>0</v>
      </c>
      <c r="AT222" s="35">
        <f>SUM(AK223:AK234)</f>
        <v>0</v>
      </c>
      <c r="AU222" s="35">
        <f>SUM(AL223:AL234)</f>
        <v>0</v>
      </c>
    </row>
    <row r="223" spans="1:62" x14ac:dyDescent="0.2">
      <c r="A223" s="4" t="s">
        <v>61</v>
      </c>
      <c r="B223" s="4" t="s">
        <v>216</v>
      </c>
      <c r="C223" s="59" t="s">
        <v>519</v>
      </c>
      <c r="D223" s="60"/>
      <c r="E223" s="60"/>
      <c r="F223" s="4" t="s">
        <v>817</v>
      </c>
      <c r="G223" s="15">
        <v>1101</v>
      </c>
      <c r="H223" s="15">
        <v>0</v>
      </c>
      <c r="I223" s="15">
        <f>G223*AO223</f>
        <v>0</v>
      </c>
      <c r="J223" s="15">
        <f>G223*AP223</f>
        <v>0</v>
      </c>
      <c r="K223" s="15">
        <f>G223*H223</f>
        <v>0</v>
      </c>
      <c r="L223" s="27" t="s">
        <v>839</v>
      </c>
      <c r="Z223" s="32">
        <f>IF(AQ223="5",BJ223,0)</f>
        <v>0</v>
      </c>
      <c r="AB223" s="32">
        <f>IF(AQ223="1",BH223,0)</f>
        <v>0</v>
      </c>
      <c r="AC223" s="32">
        <f>IF(AQ223="1",BI223,0)</f>
        <v>0</v>
      </c>
      <c r="AD223" s="32">
        <f>IF(AQ223="7",BH223,0)</f>
        <v>0</v>
      </c>
      <c r="AE223" s="32">
        <f>IF(AQ223="7",BI223,0)</f>
        <v>0</v>
      </c>
      <c r="AF223" s="32">
        <f>IF(AQ223="2",BH223,0)</f>
        <v>0</v>
      </c>
      <c r="AG223" s="32">
        <f>IF(AQ223="2",BI223,0)</f>
        <v>0</v>
      </c>
      <c r="AH223" s="32">
        <f>IF(AQ223="0",BJ223,0)</f>
        <v>0</v>
      </c>
      <c r="AI223" s="28"/>
      <c r="AJ223" s="15">
        <f>IF(AN223=0,K223,0)</f>
        <v>0</v>
      </c>
      <c r="AK223" s="15">
        <f>IF(AN223=15,K223,0)</f>
        <v>0</v>
      </c>
      <c r="AL223" s="15">
        <f>IF(AN223=21,K223,0)</f>
        <v>0</v>
      </c>
      <c r="AN223" s="32">
        <v>21</v>
      </c>
      <c r="AO223" s="32">
        <f>H223*0</f>
        <v>0</v>
      </c>
      <c r="AP223" s="32">
        <f>H223*(1-0)</f>
        <v>0</v>
      </c>
      <c r="AQ223" s="27" t="s">
        <v>13</v>
      </c>
      <c r="AV223" s="32">
        <f>AW223+AX223</f>
        <v>0</v>
      </c>
      <c r="AW223" s="32">
        <f>G223*AO223</f>
        <v>0</v>
      </c>
      <c r="AX223" s="32">
        <f>G223*AP223</f>
        <v>0</v>
      </c>
      <c r="AY223" s="33" t="s">
        <v>865</v>
      </c>
      <c r="AZ223" s="33" t="s">
        <v>886</v>
      </c>
      <c r="BA223" s="28" t="s">
        <v>891</v>
      </c>
      <c r="BC223" s="32">
        <f>AW223+AX223</f>
        <v>0</v>
      </c>
      <c r="BD223" s="32">
        <f>H223/(100-BE223)*100</f>
        <v>0</v>
      </c>
      <c r="BE223" s="32">
        <v>0</v>
      </c>
      <c r="BF223" s="32">
        <f>223</f>
        <v>223</v>
      </c>
      <c r="BH223" s="15">
        <f>G223*AO223</f>
        <v>0</v>
      </c>
      <c r="BI223" s="15">
        <f>G223*AP223</f>
        <v>0</v>
      </c>
      <c r="BJ223" s="15">
        <f>G223*H223</f>
        <v>0</v>
      </c>
    </row>
    <row r="224" spans="1:62" x14ac:dyDescent="0.2">
      <c r="C224" s="57" t="s">
        <v>496</v>
      </c>
      <c r="D224" s="58"/>
      <c r="E224" s="58"/>
      <c r="G224" s="16">
        <v>1101</v>
      </c>
    </row>
    <row r="225" spans="1:62" x14ac:dyDescent="0.2">
      <c r="A225" s="4" t="s">
        <v>62</v>
      </c>
      <c r="B225" s="4" t="s">
        <v>217</v>
      </c>
      <c r="C225" s="59" t="s">
        <v>520</v>
      </c>
      <c r="D225" s="60"/>
      <c r="E225" s="60"/>
      <c r="F225" s="4" t="s">
        <v>817</v>
      </c>
      <c r="G225" s="15">
        <v>1236</v>
      </c>
      <c r="H225" s="15">
        <v>0</v>
      </c>
      <c r="I225" s="15">
        <f>G225*AO225</f>
        <v>0</v>
      </c>
      <c r="J225" s="15">
        <f>G225*AP225</f>
        <v>0</v>
      </c>
      <c r="K225" s="15">
        <f>G225*H225</f>
        <v>0</v>
      </c>
      <c r="L225" s="27" t="s">
        <v>839</v>
      </c>
      <c r="Z225" s="32">
        <f>IF(AQ225="5",BJ225,0)</f>
        <v>0</v>
      </c>
      <c r="AB225" s="32">
        <f>IF(AQ225="1",BH225,0)</f>
        <v>0</v>
      </c>
      <c r="AC225" s="32">
        <f>IF(AQ225="1",BI225,0)</f>
        <v>0</v>
      </c>
      <c r="AD225" s="32">
        <f>IF(AQ225="7",BH225,0)</f>
        <v>0</v>
      </c>
      <c r="AE225" s="32">
        <f>IF(AQ225="7",BI225,0)</f>
        <v>0</v>
      </c>
      <c r="AF225" s="32">
        <f>IF(AQ225="2",BH225,0)</f>
        <v>0</v>
      </c>
      <c r="AG225" s="32">
        <f>IF(AQ225="2",BI225,0)</f>
        <v>0</v>
      </c>
      <c r="AH225" s="32">
        <f>IF(AQ225="0",BJ225,0)</f>
        <v>0</v>
      </c>
      <c r="AI225" s="28"/>
      <c r="AJ225" s="15">
        <f>IF(AN225=0,K225,0)</f>
        <v>0</v>
      </c>
      <c r="AK225" s="15">
        <f>IF(AN225=15,K225,0)</f>
        <v>0</v>
      </c>
      <c r="AL225" s="15">
        <f>IF(AN225=21,K225,0)</f>
        <v>0</v>
      </c>
      <c r="AN225" s="32">
        <v>21</v>
      </c>
      <c r="AO225" s="32">
        <f>H225*0.269121338912134</f>
        <v>0</v>
      </c>
      <c r="AP225" s="32">
        <f>H225*(1-0.269121338912134)</f>
        <v>0</v>
      </c>
      <c r="AQ225" s="27" t="s">
        <v>13</v>
      </c>
      <c r="AV225" s="32">
        <f>AW225+AX225</f>
        <v>0</v>
      </c>
      <c r="AW225" s="32">
        <f>G225*AO225</f>
        <v>0</v>
      </c>
      <c r="AX225" s="32">
        <f>G225*AP225</f>
        <v>0</v>
      </c>
      <c r="AY225" s="33" t="s">
        <v>865</v>
      </c>
      <c r="AZ225" s="33" t="s">
        <v>886</v>
      </c>
      <c r="BA225" s="28" t="s">
        <v>891</v>
      </c>
      <c r="BC225" s="32">
        <f>AW225+AX225</f>
        <v>0</v>
      </c>
      <c r="BD225" s="32">
        <f>H225/(100-BE225)*100</f>
        <v>0</v>
      </c>
      <c r="BE225" s="32">
        <v>0</v>
      </c>
      <c r="BF225" s="32">
        <f>225</f>
        <v>225</v>
      </c>
      <c r="BH225" s="15">
        <f>G225*AO225</f>
        <v>0</v>
      </c>
      <c r="BI225" s="15">
        <f>G225*AP225</f>
        <v>0</v>
      </c>
      <c r="BJ225" s="15">
        <f>G225*H225</f>
        <v>0</v>
      </c>
    </row>
    <row r="226" spans="1:62" x14ac:dyDescent="0.2">
      <c r="C226" s="57" t="s">
        <v>521</v>
      </c>
      <c r="D226" s="58"/>
      <c r="E226" s="58"/>
      <c r="G226" s="16">
        <v>1101</v>
      </c>
    </row>
    <row r="227" spans="1:62" x14ac:dyDescent="0.2">
      <c r="C227" s="57" t="s">
        <v>497</v>
      </c>
      <c r="D227" s="58"/>
      <c r="E227" s="58"/>
      <c r="G227" s="16">
        <v>66.5</v>
      </c>
    </row>
    <row r="228" spans="1:62" x14ac:dyDescent="0.2">
      <c r="C228" s="57" t="s">
        <v>498</v>
      </c>
      <c r="D228" s="58"/>
      <c r="E228" s="58"/>
      <c r="G228" s="16">
        <v>68.5</v>
      </c>
    </row>
    <row r="229" spans="1:62" x14ac:dyDescent="0.2">
      <c r="A229" s="6" t="s">
        <v>63</v>
      </c>
      <c r="B229" s="6" t="s">
        <v>218</v>
      </c>
      <c r="C229" s="67" t="s">
        <v>522</v>
      </c>
      <c r="D229" s="68"/>
      <c r="E229" s="68"/>
      <c r="F229" s="6" t="s">
        <v>818</v>
      </c>
      <c r="G229" s="17">
        <v>258.0804</v>
      </c>
      <c r="H229" s="17">
        <v>0</v>
      </c>
      <c r="I229" s="17">
        <f>G229*AO229</f>
        <v>0</v>
      </c>
      <c r="J229" s="17">
        <f>G229*AP229</f>
        <v>0</v>
      </c>
      <c r="K229" s="17">
        <f>G229*H229</f>
        <v>0</v>
      </c>
      <c r="L229" s="29" t="s">
        <v>839</v>
      </c>
      <c r="Z229" s="32">
        <f>IF(AQ229="5",BJ229,0)</f>
        <v>0</v>
      </c>
      <c r="AB229" s="32">
        <f>IF(AQ229="1",BH229,0)</f>
        <v>0</v>
      </c>
      <c r="AC229" s="32">
        <f>IF(AQ229="1",BI229,0)</f>
        <v>0</v>
      </c>
      <c r="AD229" s="32">
        <f>IF(AQ229="7",BH229,0)</f>
        <v>0</v>
      </c>
      <c r="AE229" s="32">
        <f>IF(AQ229="7",BI229,0)</f>
        <v>0</v>
      </c>
      <c r="AF229" s="32">
        <f>IF(AQ229="2",BH229,0)</f>
        <v>0</v>
      </c>
      <c r="AG229" s="32">
        <f>IF(AQ229="2",BI229,0)</f>
        <v>0</v>
      </c>
      <c r="AH229" s="32">
        <f>IF(AQ229="0",BJ229,0)</f>
        <v>0</v>
      </c>
      <c r="AI229" s="28"/>
      <c r="AJ229" s="17">
        <f>IF(AN229=0,K229,0)</f>
        <v>0</v>
      </c>
      <c r="AK229" s="17">
        <f>IF(AN229=15,K229,0)</f>
        <v>0</v>
      </c>
      <c r="AL229" s="17">
        <f>IF(AN229=21,K229,0)</f>
        <v>0</v>
      </c>
      <c r="AN229" s="32">
        <v>21</v>
      </c>
      <c r="AO229" s="32">
        <f>H229*1</f>
        <v>0</v>
      </c>
      <c r="AP229" s="32">
        <f>H229*(1-1)</f>
        <v>0</v>
      </c>
      <c r="AQ229" s="29" t="s">
        <v>13</v>
      </c>
      <c r="AV229" s="32">
        <f>AW229+AX229</f>
        <v>0</v>
      </c>
      <c r="AW229" s="32">
        <f>G229*AO229</f>
        <v>0</v>
      </c>
      <c r="AX229" s="32">
        <f>G229*AP229</f>
        <v>0</v>
      </c>
      <c r="AY229" s="33" t="s">
        <v>865</v>
      </c>
      <c r="AZ229" s="33" t="s">
        <v>886</v>
      </c>
      <c r="BA229" s="28" t="s">
        <v>891</v>
      </c>
      <c r="BC229" s="32">
        <f>AW229+AX229</f>
        <v>0</v>
      </c>
      <c r="BD229" s="32">
        <f>H229/(100-BE229)*100</f>
        <v>0</v>
      </c>
      <c r="BE229" s="32">
        <v>0</v>
      </c>
      <c r="BF229" s="32">
        <f>229</f>
        <v>229</v>
      </c>
      <c r="BH229" s="17">
        <f>G229*AO229</f>
        <v>0</v>
      </c>
      <c r="BI229" s="17">
        <f>G229*AP229</f>
        <v>0</v>
      </c>
      <c r="BJ229" s="17">
        <f>G229*H229</f>
        <v>0</v>
      </c>
    </row>
    <row r="230" spans="1:62" x14ac:dyDescent="0.2">
      <c r="C230" s="57" t="s">
        <v>523</v>
      </c>
      <c r="D230" s="58"/>
      <c r="E230" s="58"/>
      <c r="G230" s="16">
        <v>242.22</v>
      </c>
    </row>
    <row r="231" spans="1:62" x14ac:dyDescent="0.2">
      <c r="C231" s="57" t="s">
        <v>524</v>
      </c>
      <c r="D231" s="58"/>
      <c r="E231" s="58"/>
      <c r="G231" s="16">
        <v>5.32</v>
      </c>
    </row>
    <row r="232" spans="1:62" x14ac:dyDescent="0.2">
      <c r="C232" s="57" t="s">
        <v>525</v>
      </c>
      <c r="D232" s="58"/>
      <c r="E232" s="58"/>
      <c r="G232" s="16">
        <v>5.48</v>
      </c>
    </row>
    <row r="233" spans="1:62" x14ac:dyDescent="0.2">
      <c r="C233" s="57" t="s">
        <v>526</v>
      </c>
      <c r="D233" s="58"/>
      <c r="E233" s="58"/>
      <c r="G233" s="16">
        <v>5.0603999999999996</v>
      </c>
    </row>
    <row r="234" spans="1:62" x14ac:dyDescent="0.2">
      <c r="A234" s="4" t="s">
        <v>64</v>
      </c>
      <c r="B234" s="4" t="s">
        <v>219</v>
      </c>
      <c r="C234" s="59" t="s">
        <v>527</v>
      </c>
      <c r="D234" s="60"/>
      <c r="E234" s="60"/>
      <c r="F234" s="4" t="s">
        <v>821</v>
      </c>
      <c r="G234" s="15">
        <v>7.7424099999999996</v>
      </c>
      <c r="H234" s="15">
        <v>0</v>
      </c>
      <c r="I234" s="15">
        <f>G234*AO234</f>
        <v>0</v>
      </c>
      <c r="J234" s="15">
        <f>G234*AP234</f>
        <v>0</v>
      </c>
      <c r="K234" s="15">
        <f>G234*H234</f>
        <v>0</v>
      </c>
      <c r="L234" s="27" t="s">
        <v>839</v>
      </c>
      <c r="Z234" s="32">
        <f>IF(AQ234="5",BJ234,0)</f>
        <v>0</v>
      </c>
      <c r="AB234" s="32">
        <f>IF(AQ234="1",BH234,0)</f>
        <v>0</v>
      </c>
      <c r="AC234" s="32">
        <f>IF(AQ234="1",BI234,0)</f>
        <v>0</v>
      </c>
      <c r="AD234" s="32">
        <f>IF(AQ234="7",BH234,0)</f>
        <v>0</v>
      </c>
      <c r="AE234" s="32">
        <f>IF(AQ234="7",BI234,0)</f>
        <v>0</v>
      </c>
      <c r="AF234" s="32">
        <f>IF(AQ234="2",BH234,0)</f>
        <v>0</v>
      </c>
      <c r="AG234" s="32">
        <f>IF(AQ234="2",BI234,0)</f>
        <v>0</v>
      </c>
      <c r="AH234" s="32">
        <f>IF(AQ234="0",BJ234,0)</f>
        <v>0</v>
      </c>
      <c r="AI234" s="28"/>
      <c r="AJ234" s="15">
        <f>IF(AN234=0,K234,0)</f>
        <v>0</v>
      </c>
      <c r="AK234" s="15">
        <f>IF(AN234=15,K234,0)</f>
        <v>0</v>
      </c>
      <c r="AL234" s="15">
        <f>IF(AN234=21,K234,0)</f>
        <v>0</v>
      </c>
      <c r="AN234" s="32">
        <v>21</v>
      </c>
      <c r="AO234" s="32">
        <f>H234*0</f>
        <v>0</v>
      </c>
      <c r="AP234" s="32">
        <f>H234*(1-0)</f>
        <v>0</v>
      </c>
      <c r="AQ234" s="27" t="s">
        <v>11</v>
      </c>
      <c r="AV234" s="32">
        <f>AW234+AX234</f>
        <v>0</v>
      </c>
      <c r="AW234" s="32">
        <f>G234*AO234</f>
        <v>0</v>
      </c>
      <c r="AX234" s="32">
        <f>G234*AP234</f>
        <v>0</v>
      </c>
      <c r="AY234" s="33" t="s">
        <v>865</v>
      </c>
      <c r="AZ234" s="33" t="s">
        <v>886</v>
      </c>
      <c r="BA234" s="28" t="s">
        <v>891</v>
      </c>
      <c r="BC234" s="32">
        <f>AW234+AX234</f>
        <v>0</v>
      </c>
      <c r="BD234" s="32">
        <f>H234/(100-BE234)*100</f>
        <v>0</v>
      </c>
      <c r="BE234" s="32">
        <v>0</v>
      </c>
      <c r="BF234" s="32">
        <f>234</f>
        <v>234</v>
      </c>
      <c r="BH234" s="15">
        <f>G234*AO234</f>
        <v>0</v>
      </c>
      <c r="BI234" s="15">
        <f>G234*AP234</f>
        <v>0</v>
      </c>
      <c r="BJ234" s="15">
        <f>G234*H234</f>
        <v>0</v>
      </c>
    </row>
    <row r="235" spans="1:62" x14ac:dyDescent="0.2">
      <c r="C235" s="57" t="s">
        <v>528</v>
      </c>
      <c r="D235" s="58"/>
      <c r="E235" s="58"/>
      <c r="G235" s="16">
        <v>7.7424099999999996</v>
      </c>
    </row>
    <row r="236" spans="1:62" x14ac:dyDescent="0.2">
      <c r="A236" s="5"/>
      <c r="B236" s="13" t="s">
        <v>220</v>
      </c>
      <c r="C236" s="65" t="s">
        <v>529</v>
      </c>
      <c r="D236" s="66"/>
      <c r="E236" s="66"/>
      <c r="F236" s="5" t="s">
        <v>6</v>
      </c>
      <c r="G236" s="5" t="s">
        <v>6</v>
      </c>
      <c r="H236" s="5" t="s">
        <v>6</v>
      </c>
      <c r="I236" s="35">
        <f>SUM(I237:I237)</f>
        <v>0</v>
      </c>
      <c r="J236" s="35">
        <f>SUM(J237:J237)</f>
        <v>0</v>
      </c>
      <c r="K236" s="35">
        <f>SUM(K237:K237)</f>
        <v>0</v>
      </c>
      <c r="L236" s="28"/>
      <c r="AI236" s="28"/>
      <c r="AS236" s="35">
        <f>SUM(AJ237:AJ237)</f>
        <v>0</v>
      </c>
      <c r="AT236" s="35">
        <f>SUM(AK237:AK237)</f>
        <v>0</v>
      </c>
      <c r="AU236" s="35">
        <f>SUM(AL237:AL237)</f>
        <v>0</v>
      </c>
    </row>
    <row r="237" spans="1:62" x14ac:dyDescent="0.2">
      <c r="A237" s="4" t="s">
        <v>65</v>
      </c>
      <c r="B237" s="4" t="s">
        <v>221</v>
      </c>
      <c r="C237" s="59" t="s">
        <v>530</v>
      </c>
      <c r="D237" s="60"/>
      <c r="E237" s="60"/>
      <c r="F237" s="4" t="s">
        <v>820</v>
      </c>
      <c r="G237" s="15">
        <v>8</v>
      </c>
      <c r="H237" s="15">
        <v>0</v>
      </c>
      <c r="I237" s="15">
        <f>G237*AO237</f>
        <v>0</v>
      </c>
      <c r="J237" s="15">
        <f>G237*AP237</f>
        <v>0</v>
      </c>
      <c r="K237" s="15">
        <f>G237*H237</f>
        <v>0</v>
      </c>
      <c r="L237" s="27" t="s">
        <v>839</v>
      </c>
      <c r="Z237" s="32">
        <f>IF(AQ237="5",BJ237,0)</f>
        <v>0</v>
      </c>
      <c r="AB237" s="32">
        <f>IF(AQ237="1",BH237,0)</f>
        <v>0</v>
      </c>
      <c r="AC237" s="32">
        <f>IF(AQ237="1",BI237,0)</f>
        <v>0</v>
      </c>
      <c r="AD237" s="32">
        <f>IF(AQ237="7",BH237,0)</f>
        <v>0</v>
      </c>
      <c r="AE237" s="32">
        <f>IF(AQ237="7",BI237,0)</f>
        <v>0</v>
      </c>
      <c r="AF237" s="32">
        <f>IF(AQ237="2",BH237,0)</f>
        <v>0</v>
      </c>
      <c r="AG237" s="32">
        <f>IF(AQ237="2",BI237,0)</f>
        <v>0</v>
      </c>
      <c r="AH237" s="32">
        <f>IF(AQ237="0",BJ237,0)</f>
        <v>0</v>
      </c>
      <c r="AI237" s="28"/>
      <c r="AJ237" s="15">
        <f>IF(AN237=0,K237,0)</f>
        <v>0</v>
      </c>
      <c r="AK237" s="15">
        <f>IF(AN237=15,K237,0)</f>
        <v>0</v>
      </c>
      <c r="AL237" s="15">
        <f>IF(AN237=21,K237,0)</f>
        <v>0</v>
      </c>
      <c r="AN237" s="32">
        <v>21</v>
      </c>
      <c r="AO237" s="32">
        <f>H237*0</f>
        <v>0</v>
      </c>
      <c r="AP237" s="32">
        <f>H237*(1-0)</f>
        <v>0</v>
      </c>
      <c r="AQ237" s="27" t="s">
        <v>13</v>
      </c>
      <c r="AV237" s="32">
        <f>AW237+AX237</f>
        <v>0</v>
      </c>
      <c r="AW237" s="32">
        <f>G237*AO237</f>
        <v>0</v>
      </c>
      <c r="AX237" s="32">
        <f>G237*AP237</f>
        <v>0</v>
      </c>
      <c r="AY237" s="33" t="s">
        <v>866</v>
      </c>
      <c r="AZ237" s="33" t="s">
        <v>887</v>
      </c>
      <c r="BA237" s="28" t="s">
        <v>891</v>
      </c>
      <c r="BC237" s="32">
        <f>AW237+AX237</f>
        <v>0</v>
      </c>
      <c r="BD237" s="32">
        <f>H237/(100-BE237)*100</f>
        <v>0</v>
      </c>
      <c r="BE237" s="32">
        <v>0</v>
      </c>
      <c r="BF237" s="32">
        <f>237</f>
        <v>237</v>
      </c>
      <c r="BH237" s="15">
        <f>G237*AO237</f>
        <v>0</v>
      </c>
      <c r="BI237" s="15">
        <f>G237*AP237</f>
        <v>0</v>
      </c>
      <c r="BJ237" s="15">
        <f>G237*H237</f>
        <v>0</v>
      </c>
    </row>
    <row r="238" spans="1:62" x14ac:dyDescent="0.2">
      <c r="C238" s="57" t="s">
        <v>531</v>
      </c>
      <c r="D238" s="58"/>
      <c r="E238" s="58"/>
      <c r="G238" s="16">
        <v>8</v>
      </c>
    </row>
    <row r="239" spans="1:62" x14ac:dyDescent="0.2">
      <c r="A239" s="5"/>
      <c r="B239" s="13" t="s">
        <v>222</v>
      </c>
      <c r="C239" s="65" t="s">
        <v>532</v>
      </c>
      <c r="D239" s="66"/>
      <c r="E239" s="66"/>
      <c r="F239" s="5" t="s">
        <v>6</v>
      </c>
      <c r="G239" s="5" t="s">
        <v>6</v>
      </c>
      <c r="H239" s="5" t="s">
        <v>6</v>
      </c>
      <c r="I239" s="35">
        <f>SUM(I240:I250)</f>
        <v>0</v>
      </c>
      <c r="J239" s="35">
        <f>SUM(J240:J250)</f>
        <v>0</v>
      </c>
      <c r="K239" s="35">
        <f>SUM(K240:K250)</f>
        <v>0</v>
      </c>
      <c r="L239" s="28"/>
      <c r="AI239" s="28"/>
      <c r="AS239" s="35">
        <f>SUM(AJ240:AJ250)</f>
        <v>0</v>
      </c>
      <c r="AT239" s="35">
        <f>SUM(AK240:AK250)</f>
        <v>0</v>
      </c>
      <c r="AU239" s="35">
        <f>SUM(AL240:AL250)</f>
        <v>0</v>
      </c>
    </row>
    <row r="240" spans="1:62" x14ac:dyDescent="0.2">
      <c r="A240" s="4" t="s">
        <v>66</v>
      </c>
      <c r="B240" s="4" t="s">
        <v>223</v>
      </c>
      <c r="C240" s="59" t="s">
        <v>533</v>
      </c>
      <c r="D240" s="60"/>
      <c r="E240" s="60"/>
      <c r="F240" s="4" t="s">
        <v>820</v>
      </c>
      <c r="G240" s="15">
        <v>133</v>
      </c>
      <c r="H240" s="15">
        <v>0</v>
      </c>
      <c r="I240" s="15">
        <f>G240*AO240</f>
        <v>0</v>
      </c>
      <c r="J240" s="15">
        <f>G240*AP240</f>
        <v>0</v>
      </c>
      <c r="K240" s="15">
        <f>G240*H240</f>
        <v>0</v>
      </c>
      <c r="L240" s="27" t="s">
        <v>839</v>
      </c>
      <c r="Z240" s="32">
        <f>IF(AQ240="5",BJ240,0)</f>
        <v>0</v>
      </c>
      <c r="AB240" s="32">
        <f>IF(AQ240="1",BH240,0)</f>
        <v>0</v>
      </c>
      <c r="AC240" s="32">
        <f>IF(AQ240="1",BI240,0)</f>
        <v>0</v>
      </c>
      <c r="AD240" s="32">
        <f>IF(AQ240="7",BH240,0)</f>
        <v>0</v>
      </c>
      <c r="AE240" s="32">
        <f>IF(AQ240="7",BI240,0)</f>
        <v>0</v>
      </c>
      <c r="AF240" s="32">
        <f>IF(AQ240="2",BH240,0)</f>
        <v>0</v>
      </c>
      <c r="AG240" s="32">
        <f>IF(AQ240="2",BI240,0)</f>
        <v>0</v>
      </c>
      <c r="AH240" s="32">
        <f>IF(AQ240="0",BJ240,0)</f>
        <v>0</v>
      </c>
      <c r="AI240" s="28"/>
      <c r="AJ240" s="15">
        <f>IF(AN240=0,K240,0)</f>
        <v>0</v>
      </c>
      <c r="AK240" s="15">
        <f>IF(AN240=15,K240,0)</f>
        <v>0</v>
      </c>
      <c r="AL240" s="15">
        <f>IF(AN240=21,K240,0)</f>
        <v>0</v>
      </c>
      <c r="AN240" s="32">
        <v>21</v>
      </c>
      <c r="AO240" s="32">
        <f>H240*0</f>
        <v>0</v>
      </c>
      <c r="AP240" s="32">
        <f>H240*(1-0)</f>
        <v>0</v>
      </c>
      <c r="AQ240" s="27" t="s">
        <v>13</v>
      </c>
      <c r="AV240" s="32">
        <f>AW240+AX240</f>
        <v>0</v>
      </c>
      <c r="AW240" s="32">
        <f>G240*AO240</f>
        <v>0</v>
      </c>
      <c r="AX240" s="32">
        <f>G240*AP240</f>
        <v>0</v>
      </c>
      <c r="AY240" s="33" t="s">
        <v>867</v>
      </c>
      <c r="AZ240" s="33" t="s">
        <v>887</v>
      </c>
      <c r="BA240" s="28" t="s">
        <v>891</v>
      </c>
      <c r="BC240" s="32">
        <f>AW240+AX240</f>
        <v>0</v>
      </c>
      <c r="BD240" s="32">
        <f>H240/(100-BE240)*100</f>
        <v>0</v>
      </c>
      <c r="BE240" s="32">
        <v>0</v>
      </c>
      <c r="BF240" s="32">
        <f>240</f>
        <v>240</v>
      </c>
      <c r="BH240" s="15">
        <f>G240*AO240</f>
        <v>0</v>
      </c>
      <c r="BI240" s="15">
        <f>G240*AP240</f>
        <v>0</v>
      </c>
      <c r="BJ240" s="15">
        <f>G240*H240</f>
        <v>0</v>
      </c>
    </row>
    <row r="241" spans="1:62" x14ac:dyDescent="0.2">
      <c r="C241" s="57" t="s">
        <v>534</v>
      </c>
      <c r="D241" s="58"/>
      <c r="E241" s="58"/>
      <c r="G241" s="16">
        <v>133</v>
      </c>
    </row>
    <row r="242" spans="1:62" x14ac:dyDescent="0.2">
      <c r="A242" s="4" t="s">
        <v>67</v>
      </c>
      <c r="B242" s="4" t="s">
        <v>224</v>
      </c>
      <c r="C242" s="59" t="s">
        <v>535</v>
      </c>
      <c r="D242" s="60"/>
      <c r="E242" s="60"/>
      <c r="F242" s="4" t="s">
        <v>820</v>
      </c>
      <c r="G242" s="15">
        <v>3</v>
      </c>
      <c r="H242" s="15">
        <v>0</v>
      </c>
      <c r="I242" s="15">
        <f>G242*AO242</f>
        <v>0</v>
      </c>
      <c r="J242" s="15">
        <f>G242*AP242</f>
        <v>0</v>
      </c>
      <c r="K242" s="15">
        <f>G242*H242</f>
        <v>0</v>
      </c>
      <c r="L242" s="27" t="s">
        <v>839</v>
      </c>
      <c r="Z242" s="32">
        <f>IF(AQ242="5",BJ242,0)</f>
        <v>0</v>
      </c>
      <c r="AB242" s="32">
        <f>IF(AQ242="1",BH242,0)</f>
        <v>0</v>
      </c>
      <c r="AC242" s="32">
        <f>IF(AQ242="1",BI242,0)</f>
        <v>0</v>
      </c>
      <c r="AD242" s="32">
        <f>IF(AQ242="7",BH242,0)</f>
        <v>0</v>
      </c>
      <c r="AE242" s="32">
        <f>IF(AQ242="7",BI242,0)</f>
        <v>0</v>
      </c>
      <c r="AF242" s="32">
        <f>IF(AQ242="2",BH242,0)</f>
        <v>0</v>
      </c>
      <c r="AG242" s="32">
        <f>IF(AQ242="2",BI242,0)</f>
        <v>0</v>
      </c>
      <c r="AH242" s="32">
        <f>IF(AQ242="0",BJ242,0)</f>
        <v>0</v>
      </c>
      <c r="AI242" s="28"/>
      <c r="AJ242" s="15">
        <f>IF(AN242=0,K242,0)</f>
        <v>0</v>
      </c>
      <c r="AK242" s="15">
        <f>IF(AN242=15,K242,0)</f>
        <v>0</v>
      </c>
      <c r="AL242" s="15">
        <f>IF(AN242=21,K242,0)</f>
        <v>0</v>
      </c>
      <c r="AN242" s="32">
        <v>21</v>
      </c>
      <c r="AO242" s="32">
        <f>H242*0</f>
        <v>0</v>
      </c>
      <c r="AP242" s="32">
        <f>H242*(1-0)</f>
        <v>0</v>
      </c>
      <c r="AQ242" s="27" t="s">
        <v>13</v>
      </c>
      <c r="AV242" s="32">
        <f>AW242+AX242</f>
        <v>0</v>
      </c>
      <c r="AW242" s="32">
        <f>G242*AO242</f>
        <v>0</v>
      </c>
      <c r="AX242" s="32">
        <f>G242*AP242</f>
        <v>0</v>
      </c>
      <c r="AY242" s="33" t="s">
        <v>867</v>
      </c>
      <c r="AZ242" s="33" t="s">
        <v>887</v>
      </c>
      <c r="BA242" s="28" t="s">
        <v>891</v>
      </c>
      <c r="BC242" s="32">
        <f>AW242+AX242</f>
        <v>0</v>
      </c>
      <c r="BD242" s="32">
        <f>H242/(100-BE242)*100</f>
        <v>0</v>
      </c>
      <c r="BE242" s="32">
        <v>0</v>
      </c>
      <c r="BF242" s="32">
        <f>242</f>
        <v>242</v>
      </c>
      <c r="BH242" s="15">
        <f>G242*AO242</f>
        <v>0</v>
      </c>
      <c r="BI242" s="15">
        <f>G242*AP242</f>
        <v>0</v>
      </c>
      <c r="BJ242" s="15">
        <f>G242*H242</f>
        <v>0</v>
      </c>
    </row>
    <row r="243" spans="1:62" x14ac:dyDescent="0.2">
      <c r="C243" s="57" t="s">
        <v>536</v>
      </c>
      <c r="D243" s="58"/>
      <c r="E243" s="58"/>
      <c r="G243" s="16">
        <v>3</v>
      </c>
    </row>
    <row r="244" spans="1:62" x14ac:dyDescent="0.2">
      <c r="A244" s="4" t="s">
        <v>68</v>
      </c>
      <c r="B244" s="4" t="s">
        <v>225</v>
      </c>
      <c r="C244" s="59" t="s">
        <v>537</v>
      </c>
      <c r="D244" s="60"/>
      <c r="E244" s="60"/>
      <c r="F244" s="4" t="s">
        <v>820</v>
      </c>
      <c r="G244" s="15">
        <v>3</v>
      </c>
      <c r="H244" s="15">
        <v>0</v>
      </c>
      <c r="I244" s="15">
        <f>G244*AO244</f>
        <v>0</v>
      </c>
      <c r="J244" s="15">
        <f>G244*AP244</f>
        <v>0</v>
      </c>
      <c r="K244" s="15">
        <f>G244*H244</f>
        <v>0</v>
      </c>
      <c r="L244" s="27" t="s">
        <v>839</v>
      </c>
      <c r="Z244" s="32">
        <f>IF(AQ244="5",BJ244,0)</f>
        <v>0</v>
      </c>
      <c r="AB244" s="32">
        <f>IF(AQ244="1",BH244,0)</f>
        <v>0</v>
      </c>
      <c r="AC244" s="32">
        <f>IF(AQ244="1",BI244,0)</f>
        <v>0</v>
      </c>
      <c r="AD244" s="32">
        <f>IF(AQ244="7",BH244,0)</f>
        <v>0</v>
      </c>
      <c r="AE244" s="32">
        <f>IF(AQ244="7",BI244,0)</f>
        <v>0</v>
      </c>
      <c r="AF244" s="32">
        <f>IF(AQ244="2",BH244,0)</f>
        <v>0</v>
      </c>
      <c r="AG244" s="32">
        <f>IF(AQ244="2",BI244,0)</f>
        <v>0</v>
      </c>
      <c r="AH244" s="32">
        <f>IF(AQ244="0",BJ244,0)</f>
        <v>0</v>
      </c>
      <c r="AI244" s="28"/>
      <c r="AJ244" s="15">
        <f>IF(AN244=0,K244,0)</f>
        <v>0</v>
      </c>
      <c r="AK244" s="15">
        <f>IF(AN244=15,K244,0)</f>
        <v>0</v>
      </c>
      <c r="AL244" s="15">
        <f>IF(AN244=21,K244,0)</f>
        <v>0</v>
      </c>
      <c r="AN244" s="32">
        <v>21</v>
      </c>
      <c r="AO244" s="32">
        <f>H244*0.820918</f>
        <v>0</v>
      </c>
      <c r="AP244" s="32">
        <f>H244*(1-0.820918)</f>
        <v>0</v>
      </c>
      <c r="AQ244" s="27" t="s">
        <v>13</v>
      </c>
      <c r="AV244" s="32">
        <f>AW244+AX244</f>
        <v>0</v>
      </c>
      <c r="AW244" s="32">
        <f>G244*AO244</f>
        <v>0</v>
      </c>
      <c r="AX244" s="32">
        <f>G244*AP244</f>
        <v>0</v>
      </c>
      <c r="AY244" s="33" t="s">
        <v>867</v>
      </c>
      <c r="AZ244" s="33" t="s">
        <v>887</v>
      </c>
      <c r="BA244" s="28" t="s">
        <v>891</v>
      </c>
      <c r="BC244" s="32">
        <f>AW244+AX244</f>
        <v>0</v>
      </c>
      <c r="BD244" s="32">
        <f>H244/(100-BE244)*100</f>
        <v>0</v>
      </c>
      <c r="BE244" s="32">
        <v>0</v>
      </c>
      <c r="BF244" s="32">
        <f>244</f>
        <v>244</v>
      </c>
      <c r="BH244" s="15">
        <f>G244*AO244</f>
        <v>0</v>
      </c>
      <c r="BI244" s="15">
        <f>G244*AP244</f>
        <v>0</v>
      </c>
      <c r="BJ244" s="15">
        <f>G244*H244</f>
        <v>0</v>
      </c>
    </row>
    <row r="245" spans="1:62" x14ac:dyDescent="0.2">
      <c r="C245" s="57" t="s">
        <v>538</v>
      </c>
      <c r="D245" s="58"/>
      <c r="E245" s="58"/>
      <c r="G245" s="16">
        <v>3</v>
      </c>
    </row>
    <row r="246" spans="1:62" x14ac:dyDescent="0.2">
      <c r="A246" s="4" t="s">
        <v>69</v>
      </c>
      <c r="B246" s="4" t="s">
        <v>226</v>
      </c>
      <c r="C246" s="59" t="s">
        <v>539</v>
      </c>
      <c r="D246" s="60"/>
      <c r="E246" s="60"/>
      <c r="F246" s="4" t="s">
        <v>820</v>
      </c>
      <c r="G246" s="15">
        <v>133</v>
      </c>
      <c r="H246" s="15">
        <v>0</v>
      </c>
      <c r="I246" s="15">
        <f>G246*AO246</f>
        <v>0</v>
      </c>
      <c r="J246" s="15">
        <f>G246*AP246</f>
        <v>0</v>
      </c>
      <c r="K246" s="15">
        <f>G246*H246</f>
        <v>0</v>
      </c>
      <c r="L246" s="27" t="s">
        <v>839</v>
      </c>
      <c r="Z246" s="32">
        <f>IF(AQ246="5",BJ246,0)</f>
        <v>0</v>
      </c>
      <c r="AB246" s="32">
        <f>IF(AQ246="1",BH246,0)</f>
        <v>0</v>
      </c>
      <c r="AC246" s="32">
        <f>IF(AQ246="1",BI246,0)</f>
        <v>0</v>
      </c>
      <c r="AD246" s="32">
        <f>IF(AQ246="7",BH246,0)</f>
        <v>0</v>
      </c>
      <c r="AE246" s="32">
        <f>IF(AQ246="7",BI246,0)</f>
        <v>0</v>
      </c>
      <c r="AF246" s="32">
        <f>IF(AQ246="2",BH246,0)</f>
        <v>0</v>
      </c>
      <c r="AG246" s="32">
        <f>IF(AQ246="2",BI246,0)</f>
        <v>0</v>
      </c>
      <c r="AH246" s="32">
        <f>IF(AQ246="0",BJ246,0)</f>
        <v>0</v>
      </c>
      <c r="AI246" s="28"/>
      <c r="AJ246" s="15">
        <f>IF(AN246=0,K246,0)</f>
        <v>0</v>
      </c>
      <c r="AK246" s="15">
        <f>IF(AN246=15,K246,0)</f>
        <v>0</v>
      </c>
      <c r="AL246" s="15">
        <f>IF(AN246=21,K246,0)</f>
        <v>0</v>
      </c>
      <c r="AN246" s="32">
        <v>21</v>
      </c>
      <c r="AO246" s="32">
        <f>H246*0</f>
        <v>0</v>
      </c>
      <c r="AP246" s="32">
        <f>H246*(1-0)</f>
        <v>0</v>
      </c>
      <c r="AQ246" s="27" t="s">
        <v>13</v>
      </c>
      <c r="AV246" s="32">
        <f>AW246+AX246</f>
        <v>0</v>
      </c>
      <c r="AW246" s="32">
        <f>G246*AO246</f>
        <v>0</v>
      </c>
      <c r="AX246" s="32">
        <f>G246*AP246</f>
        <v>0</v>
      </c>
      <c r="AY246" s="33" t="s">
        <v>867</v>
      </c>
      <c r="AZ246" s="33" t="s">
        <v>887</v>
      </c>
      <c r="BA246" s="28" t="s">
        <v>891</v>
      </c>
      <c r="BC246" s="32">
        <f>AW246+AX246</f>
        <v>0</v>
      </c>
      <c r="BD246" s="32">
        <f>H246/(100-BE246)*100</f>
        <v>0</v>
      </c>
      <c r="BE246" s="32">
        <v>0</v>
      </c>
      <c r="BF246" s="32">
        <f>246</f>
        <v>246</v>
      </c>
      <c r="BH246" s="15">
        <f>G246*AO246</f>
        <v>0</v>
      </c>
      <c r="BI246" s="15">
        <f>G246*AP246</f>
        <v>0</v>
      </c>
      <c r="BJ246" s="15">
        <f>G246*H246</f>
        <v>0</v>
      </c>
    </row>
    <row r="247" spans="1:62" x14ac:dyDescent="0.2">
      <c r="C247" s="57" t="s">
        <v>540</v>
      </c>
      <c r="D247" s="58"/>
      <c r="E247" s="58"/>
      <c r="G247" s="16">
        <v>133</v>
      </c>
    </row>
    <row r="248" spans="1:62" x14ac:dyDescent="0.2">
      <c r="A248" s="6" t="s">
        <v>70</v>
      </c>
      <c r="B248" s="6" t="s">
        <v>227</v>
      </c>
      <c r="C248" s="67" t="s">
        <v>541</v>
      </c>
      <c r="D248" s="68"/>
      <c r="E248" s="68"/>
      <c r="F248" s="6" t="s">
        <v>820</v>
      </c>
      <c r="G248" s="17">
        <v>133</v>
      </c>
      <c r="H248" s="17">
        <v>0</v>
      </c>
      <c r="I248" s="17">
        <f>G248*AO248</f>
        <v>0</v>
      </c>
      <c r="J248" s="17">
        <f>G248*AP248</f>
        <v>0</v>
      </c>
      <c r="K248" s="17">
        <f>G248*H248</f>
        <v>0</v>
      </c>
      <c r="L248" s="29" t="s">
        <v>839</v>
      </c>
      <c r="Z248" s="32">
        <f>IF(AQ248="5",BJ248,0)</f>
        <v>0</v>
      </c>
      <c r="AB248" s="32">
        <f>IF(AQ248="1",BH248,0)</f>
        <v>0</v>
      </c>
      <c r="AC248" s="32">
        <f>IF(AQ248="1",BI248,0)</f>
        <v>0</v>
      </c>
      <c r="AD248" s="32">
        <f>IF(AQ248="7",BH248,0)</f>
        <v>0</v>
      </c>
      <c r="AE248" s="32">
        <f>IF(AQ248="7",BI248,0)</f>
        <v>0</v>
      </c>
      <c r="AF248" s="32">
        <f>IF(AQ248="2",BH248,0)</f>
        <v>0</v>
      </c>
      <c r="AG248" s="32">
        <f>IF(AQ248="2",BI248,0)</f>
        <v>0</v>
      </c>
      <c r="AH248" s="32">
        <f>IF(AQ248="0",BJ248,0)</f>
        <v>0</v>
      </c>
      <c r="AI248" s="28"/>
      <c r="AJ248" s="17">
        <f>IF(AN248=0,K248,0)</f>
        <v>0</v>
      </c>
      <c r="AK248" s="17">
        <f>IF(AN248=15,K248,0)</f>
        <v>0</v>
      </c>
      <c r="AL248" s="17">
        <f>IF(AN248=21,K248,0)</f>
        <v>0</v>
      </c>
      <c r="AN248" s="32">
        <v>21</v>
      </c>
      <c r="AO248" s="32">
        <f>H248*1</f>
        <v>0</v>
      </c>
      <c r="AP248" s="32">
        <f>H248*(1-1)</f>
        <v>0</v>
      </c>
      <c r="AQ248" s="29" t="s">
        <v>13</v>
      </c>
      <c r="AV248" s="32">
        <f>AW248+AX248</f>
        <v>0</v>
      </c>
      <c r="AW248" s="32">
        <f>G248*AO248</f>
        <v>0</v>
      </c>
      <c r="AX248" s="32">
        <f>G248*AP248</f>
        <v>0</v>
      </c>
      <c r="AY248" s="33" t="s">
        <v>867</v>
      </c>
      <c r="AZ248" s="33" t="s">
        <v>887</v>
      </c>
      <c r="BA248" s="28" t="s">
        <v>891</v>
      </c>
      <c r="BC248" s="32">
        <f>AW248+AX248</f>
        <v>0</v>
      </c>
      <c r="BD248" s="32">
        <f>H248/(100-BE248)*100</f>
        <v>0</v>
      </c>
      <c r="BE248" s="32">
        <v>0</v>
      </c>
      <c r="BF248" s="32">
        <f>248</f>
        <v>248</v>
      </c>
      <c r="BH248" s="17">
        <f>G248*AO248</f>
        <v>0</v>
      </c>
      <c r="BI248" s="17">
        <f>G248*AP248</f>
        <v>0</v>
      </c>
      <c r="BJ248" s="17">
        <f>G248*H248</f>
        <v>0</v>
      </c>
    </row>
    <row r="249" spans="1:62" x14ac:dyDescent="0.2">
      <c r="C249" s="57" t="s">
        <v>540</v>
      </c>
      <c r="D249" s="58"/>
      <c r="E249" s="58"/>
      <c r="G249" s="16">
        <v>133</v>
      </c>
    </row>
    <row r="250" spans="1:62" x14ac:dyDescent="0.2">
      <c r="A250" s="4" t="s">
        <v>71</v>
      </c>
      <c r="B250" s="4" t="s">
        <v>228</v>
      </c>
      <c r="C250" s="59" t="s">
        <v>542</v>
      </c>
      <c r="D250" s="60"/>
      <c r="E250" s="60"/>
      <c r="F250" s="4" t="s">
        <v>821</v>
      </c>
      <c r="G250" s="15">
        <v>6.2E-2</v>
      </c>
      <c r="H250" s="15">
        <v>0</v>
      </c>
      <c r="I250" s="15">
        <f>G250*AO250</f>
        <v>0</v>
      </c>
      <c r="J250" s="15">
        <f>G250*AP250</f>
        <v>0</v>
      </c>
      <c r="K250" s="15">
        <f>G250*H250</f>
        <v>0</v>
      </c>
      <c r="L250" s="27" t="s">
        <v>839</v>
      </c>
      <c r="Z250" s="32">
        <f>IF(AQ250="5",BJ250,0)</f>
        <v>0</v>
      </c>
      <c r="AB250" s="32">
        <f>IF(AQ250="1",BH250,0)</f>
        <v>0</v>
      </c>
      <c r="AC250" s="32">
        <f>IF(AQ250="1",BI250,0)</f>
        <v>0</v>
      </c>
      <c r="AD250" s="32">
        <f>IF(AQ250="7",BH250,0)</f>
        <v>0</v>
      </c>
      <c r="AE250" s="32">
        <f>IF(AQ250="7",BI250,0)</f>
        <v>0</v>
      </c>
      <c r="AF250" s="32">
        <f>IF(AQ250="2",BH250,0)</f>
        <v>0</v>
      </c>
      <c r="AG250" s="32">
        <f>IF(AQ250="2",BI250,0)</f>
        <v>0</v>
      </c>
      <c r="AH250" s="32">
        <f>IF(AQ250="0",BJ250,0)</f>
        <v>0</v>
      </c>
      <c r="AI250" s="28"/>
      <c r="AJ250" s="15">
        <f>IF(AN250=0,K250,0)</f>
        <v>0</v>
      </c>
      <c r="AK250" s="15">
        <f>IF(AN250=15,K250,0)</f>
        <v>0</v>
      </c>
      <c r="AL250" s="15">
        <f>IF(AN250=21,K250,0)</f>
        <v>0</v>
      </c>
      <c r="AN250" s="32">
        <v>21</v>
      </c>
      <c r="AO250" s="32">
        <f>H250*0</f>
        <v>0</v>
      </c>
      <c r="AP250" s="32">
        <f>H250*(1-0)</f>
        <v>0</v>
      </c>
      <c r="AQ250" s="27" t="s">
        <v>11</v>
      </c>
      <c r="AV250" s="32">
        <f>AW250+AX250</f>
        <v>0</v>
      </c>
      <c r="AW250" s="32">
        <f>G250*AO250</f>
        <v>0</v>
      </c>
      <c r="AX250" s="32">
        <f>G250*AP250</f>
        <v>0</v>
      </c>
      <c r="AY250" s="33" t="s">
        <v>867</v>
      </c>
      <c r="AZ250" s="33" t="s">
        <v>887</v>
      </c>
      <c r="BA250" s="28" t="s">
        <v>891</v>
      </c>
      <c r="BC250" s="32">
        <f>AW250+AX250</f>
        <v>0</v>
      </c>
      <c r="BD250" s="32">
        <f>H250/(100-BE250)*100</f>
        <v>0</v>
      </c>
      <c r="BE250" s="32">
        <v>0</v>
      </c>
      <c r="BF250" s="32">
        <f>250</f>
        <v>250</v>
      </c>
      <c r="BH250" s="15">
        <f>G250*AO250</f>
        <v>0</v>
      </c>
      <c r="BI250" s="15">
        <f>G250*AP250</f>
        <v>0</v>
      </c>
      <c r="BJ250" s="15">
        <f>G250*H250</f>
        <v>0</v>
      </c>
    </row>
    <row r="251" spans="1:62" x14ac:dyDescent="0.2">
      <c r="C251" s="57" t="s">
        <v>543</v>
      </c>
      <c r="D251" s="58"/>
      <c r="E251" s="58"/>
      <c r="G251" s="16">
        <v>6.2E-2</v>
      </c>
    </row>
    <row r="252" spans="1:62" x14ac:dyDescent="0.2">
      <c r="A252" s="5"/>
      <c r="B252" s="13" t="s">
        <v>229</v>
      </c>
      <c r="C252" s="65" t="s">
        <v>544</v>
      </c>
      <c r="D252" s="66"/>
      <c r="E252" s="66"/>
      <c r="F252" s="5" t="s">
        <v>6</v>
      </c>
      <c r="G252" s="5" t="s">
        <v>6</v>
      </c>
      <c r="H252" s="5" t="s">
        <v>6</v>
      </c>
      <c r="I252" s="35">
        <f>SUM(I253:I260)</f>
        <v>0</v>
      </c>
      <c r="J252" s="35">
        <f>SUM(J253:J260)</f>
        <v>0</v>
      </c>
      <c r="K252" s="35">
        <f>SUM(K253:K260)</f>
        <v>0</v>
      </c>
      <c r="L252" s="28"/>
      <c r="AI252" s="28"/>
      <c r="AS252" s="35">
        <f>SUM(AJ253:AJ260)</f>
        <v>0</v>
      </c>
      <c r="AT252" s="35">
        <f>SUM(AK253:AK260)</f>
        <v>0</v>
      </c>
      <c r="AU252" s="35">
        <f>SUM(AL253:AL260)</f>
        <v>0</v>
      </c>
    </row>
    <row r="253" spans="1:62" x14ac:dyDescent="0.2">
      <c r="A253" s="4" t="s">
        <v>72</v>
      </c>
      <c r="B253" s="4" t="s">
        <v>230</v>
      </c>
      <c r="C253" s="59" t="s">
        <v>545</v>
      </c>
      <c r="D253" s="60"/>
      <c r="E253" s="60"/>
      <c r="F253" s="4" t="s">
        <v>817</v>
      </c>
      <c r="G253" s="15">
        <v>1101</v>
      </c>
      <c r="H253" s="15">
        <v>0</v>
      </c>
      <c r="I253" s="15">
        <f>G253*AO253</f>
        <v>0</v>
      </c>
      <c r="J253" s="15">
        <f>G253*AP253</f>
        <v>0</v>
      </c>
      <c r="K253" s="15">
        <f>G253*H253</f>
        <v>0</v>
      </c>
      <c r="L253" s="27" t="s">
        <v>841</v>
      </c>
      <c r="Z253" s="32">
        <f>IF(AQ253="5",BJ253,0)</f>
        <v>0</v>
      </c>
      <c r="AB253" s="32">
        <f>IF(AQ253="1",BH253,0)</f>
        <v>0</v>
      </c>
      <c r="AC253" s="32">
        <f>IF(AQ253="1",BI253,0)</f>
        <v>0</v>
      </c>
      <c r="AD253" s="32">
        <f>IF(AQ253="7",BH253,0)</f>
        <v>0</v>
      </c>
      <c r="AE253" s="32">
        <f>IF(AQ253="7",BI253,0)</f>
        <v>0</v>
      </c>
      <c r="AF253" s="32">
        <f>IF(AQ253="2",BH253,0)</f>
        <v>0</v>
      </c>
      <c r="AG253" s="32">
        <f>IF(AQ253="2",BI253,0)</f>
        <v>0</v>
      </c>
      <c r="AH253" s="32">
        <f>IF(AQ253="0",BJ253,0)</f>
        <v>0</v>
      </c>
      <c r="AI253" s="28"/>
      <c r="AJ253" s="15">
        <f>IF(AN253=0,K253,0)</f>
        <v>0</v>
      </c>
      <c r="AK253" s="15">
        <f>IF(AN253=15,K253,0)</f>
        <v>0</v>
      </c>
      <c r="AL253" s="15">
        <f>IF(AN253=21,K253,0)</f>
        <v>0</v>
      </c>
      <c r="AN253" s="32">
        <v>21</v>
      </c>
      <c r="AO253" s="32">
        <f>H253*0.026806091539068</f>
        <v>0</v>
      </c>
      <c r="AP253" s="32">
        <f>H253*(1-0.026806091539068)</f>
        <v>0</v>
      </c>
      <c r="AQ253" s="27" t="s">
        <v>13</v>
      </c>
      <c r="AV253" s="32">
        <f>AW253+AX253</f>
        <v>0</v>
      </c>
      <c r="AW253" s="32">
        <f>G253*AO253</f>
        <v>0</v>
      </c>
      <c r="AX253" s="32">
        <f>G253*AP253</f>
        <v>0</v>
      </c>
      <c r="AY253" s="33" t="s">
        <v>868</v>
      </c>
      <c r="AZ253" s="33" t="s">
        <v>888</v>
      </c>
      <c r="BA253" s="28" t="s">
        <v>891</v>
      </c>
      <c r="BC253" s="32">
        <f>AW253+AX253</f>
        <v>0</v>
      </c>
      <c r="BD253" s="32">
        <f>H253/(100-BE253)*100</f>
        <v>0</v>
      </c>
      <c r="BE253" s="32">
        <v>0</v>
      </c>
      <c r="BF253" s="32">
        <f>253</f>
        <v>253</v>
      </c>
      <c r="BH253" s="15">
        <f>G253*AO253</f>
        <v>0</v>
      </c>
      <c r="BI253" s="15">
        <f>G253*AP253</f>
        <v>0</v>
      </c>
      <c r="BJ253" s="15">
        <f>G253*H253</f>
        <v>0</v>
      </c>
    </row>
    <row r="254" spans="1:62" x14ac:dyDescent="0.2">
      <c r="C254" s="57" t="s">
        <v>546</v>
      </c>
      <c r="D254" s="58"/>
      <c r="E254" s="58"/>
      <c r="G254" s="16">
        <v>1101</v>
      </c>
    </row>
    <row r="255" spans="1:62" x14ac:dyDescent="0.2">
      <c r="A255" s="6" t="s">
        <v>73</v>
      </c>
      <c r="B255" s="6" t="s">
        <v>231</v>
      </c>
      <c r="C255" s="67" t="s">
        <v>547</v>
      </c>
      <c r="D255" s="68"/>
      <c r="E255" s="68"/>
      <c r="F255" s="6" t="s">
        <v>817</v>
      </c>
      <c r="G255" s="17">
        <v>1189.08</v>
      </c>
      <c r="H255" s="17">
        <v>0</v>
      </c>
      <c r="I255" s="17">
        <f>G255*AO255</f>
        <v>0</v>
      </c>
      <c r="J255" s="17">
        <f>G255*AP255</f>
        <v>0</v>
      </c>
      <c r="K255" s="17">
        <f>G255*H255</f>
        <v>0</v>
      </c>
      <c r="L255" s="29" t="s">
        <v>841</v>
      </c>
      <c r="Z255" s="32">
        <f>IF(AQ255="5",BJ255,0)</f>
        <v>0</v>
      </c>
      <c r="AB255" s="32">
        <f>IF(AQ255="1",BH255,0)</f>
        <v>0</v>
      </c>
      <c r="AC255" s="32">
        <f>IF(AQ255="1",BI255,0)</f>
        <v>0</v>
      </c>
      <c r="AD255" s="32">
        <f>IF(AQ255="7",BH255,0)</f>
        <v>0</v>
      </c>
      <c r="AE255" s="32">
        <f>IF(AQ255="7",BI255,0)</f>
        <v>0</v>
      </c>
      <c r="AF255" s="32">
        <f>IF(AQ255="2",BH255,0)</f>
        <v>0</v>
      </c>
      <c r="AG255" s="32">
        <f>IF(AQ255="2",BI255,0)</f>
        <v>0</v>
      </c>
      <c r="AH255" s="32">
        <f>IF(AQ255="0",BJ255,0)</f>
        <v>0</v>
      </c>
      <c r="AI255" s="28"/>
      <c r="AJ255" s="17">
        <f>IF(AN255=0,K255,0)</f>
        <v>0</v>
      </c>
      <c r="AK255" s="17">
        <f>IF(AN255=15,K255,0)</f>
        <v>0</v>
      </c>
      <c r="AL255" s="17">
        <f>IF(AN255=21,K255,0)</f>
        <v>0</v>
      </c>
      <c r="AN255" s="32">
        <v>21</v>
      </c>
      <c r="AO255" s="32">
        <f>H255*1</f>
        <v>0</v>
      </c>
      <c r="AP255" s="32">
        <f>H255*(1-1)</f>
        <v>0</v>
      </c>
      <c r="AQ255" s="29" t="s">
        <v>13</v>
      </c>
      <c r="AV255" s="32">
        <f>AW255+AX255</f>
        <v>0</v>
      </c>
      <c r="AW255" s="32">
        <f>G255*AO255</f>
        <v>0</v>
      </c>
      <c r="AX255" s="32">
        <f>G255*AP255</f>
        <v>0</v>
      </c>
      <c r="AY255" s="33" t="s">
        <v>868</v>
      </c>
      <c r="AZ255" s="33" t="s">
        <v>888</v>
      </c>
      <c r="BA255" s="28" t="s">
        <v>891</v>
      </c>
      <c r="BC255" s="32">
        <f>AW255+AX255</f>
        <v>0</v>
      </c>
      <c r="BD255" s="32">
        <f>H255/(100-BE255)*100</f>
        <v>0</v>
      </c>
      <c r="BE255" s="32">
        <v>0</v>
      </c>
      <c r="BF255" s="32">
        <f>255</f>
        <v>255</v>
      </c>
      <c r="BH255" s="17">
        <f>G255*AO255</f>
        <v>0</v>
      </c>
      <c r="BI255" s="17">
        <f>G255*AP255</f>
        <v>0</v>
      </c>
      <c r="BJ255" s="17">
        <f>G255*H255</f>
        <v>0</v>
      </c>
    </row>
    <row r="256" spans="1:62" x14ac:dyDescent="0.2">
      <c r="C256" s="57" t="s">
        <v>546</v>
      </c>
      <c r="D256" s="58"/>
      <c r="E256" s="58"/>
      <c r="G256" s="16">
        <v>1101</v>
      </c>
    </row>
    <row r="257" spans="1:62" x14ac:dyDescent="0.2">
      <c r="C257" s="57" t="s">
        <v>548</v>
      </c>
      <c r="D257" s="58"/>
      <c r="E257" s="58"/>
      <c r="G257" s="16">
        <v>88.08</v>
      </c>
    </row>
    <row r="258" spans="1:62" x14ac:dyDescent="0.2">
      <c r="A258" s="4" t="s">
        <v>74</v>
      </c>
      <c r="B258" s="4" t="s">
        <v>232</v>
      </c>
      <c r="C258" s="59" t="s">
        <v>549</v>
      </c>
      <c r="D258" s="60"/>
      <c r="E258" s="60"/>
      <c r="F258" s="4" t="s">
        <v>817</v>
      </c>
      <c r="G258" s="15">
        <v>1189.08</v>
      </c>
      <c r="H258" s="15">
        <v>0</v>
      </c>
      <c r="I258" s="15">
        <f>G258*AO258</f>
        <v>0</v>
      </c>
      <c r="J258" s="15">
        <f>G258*AP258</f>
        <v>0</v>
      </c>
      <c r="K258" s="15">
        <f>G258*H258</f>
        <v>0</v>
      </c>
      <c r="L258" s="27" t="s">
        <v>841</v>
      </c>
      <c r="Z258" s="32">
        <f>IF(AQ258="5",BJ258,0)</f>
        <v>0</v>
      </c>
      <c r="AB258" s="32">
        <f>IF(AQ258="1",BH258,0)</f>
        <v>0</v>
      </c>
      <c r="AC258" s="32">
        <f>IF(AQ258="1",BI258,0)</f>
        <v>0</v>
      </c>
      <c r="AD258" s="32">
        <f>IF(AQ258="7",BH258,0)</f>
        <v>0</v>
      </c>
      <c r="AE258" s="32">
        <f>IF(AQ258="7",BI258,0)</f>
        <v>0</v>
      </c>
      <c r="AF258" s="32">
        <f>IF(AQ258="2",BH258,0)</f>
        <v>0</v>
      </c>
      <c r="AG258" s="32">
        <f>IF(AQ258="2",BI258,0)</f>
        <v>0</v>
      </c>
      <c r="AH258" s="32">
        <f>IF(AQ258="0",BJ258,0)</f>
        <v>0</v>
      </c>
      <c r="AI258" s="28"/>
      <c r="AJ258" s="15">
        <f>IF(AN258=0,K258,0)</f>
        <v>0</v>
      </c>
      <c r="AK258" s="15">
        <f>IF(AN258=15,K258,0)</f>
        <v>0</v>
      </c>
      <c r="AL258" s="15">
        <f>IF(AN258=21,K258,0)</f>
        <v>0</v>
      </c>
      <c r="AN258" s="32">
        <v>21</v>
      </c>
      <c r="AO258" s="32">
        <f>H258*0.286421465237866</f>
        <v>0</v>
      </c>
      <c r="AP258" s="32">
        <f>H258*(1-0.286421465237866)</f>
        <v>0</v>
      </c>
      <c r="AQ258" s="27" t="s">
        <v>13</v>
      </c>
      <c r="AV258" s="32">
        <f>AW258+AX258</f>
        <v>0</v>
      </c>
      <c r="AW258" s="32">
        <f>G258*AO258</f>
        <v>0</v>
      </c>
      <c r="AX258" s="32">
        <f>G258*AP258</f>
        <v>0</v>
      </c>
      <c r="AY258" s="33" t="s">
        <v>868</v>
      </c>
      <c r="AZ258" s="33" t="s">
        <v>888</v>
      </c>
      <c r="BA258" s="28" t="s">
        <v>891</v>
      </c>
      <c r="BC258" s="32">
        <f>AW258+AX258</f>
        <v>0</v>
      </c>
      <c r="BD258" s="32">
        <f>H258/(100-BE258)*100</f>
        <v>0</v>
      </c>
      <c r="BE258" s="32">
        <v>0</v>
      </c>
      <c r="BF258" s="32">
        <f>258</f>
        <v>258</v>
      </c>
      <c r="BH258" s="15">
        <f>G258*AO258</f>
        <v>0</v>
      </c>
      <c r="BI258" s="15">
        <f>G258*AP258</f>
        <v>0</v>
      </c>
      <c r="BJ258" s="15">
        <f>G258*H258</f>
        <v>0</v>
      </c>
    </row>
    <row r="259" spans="1:62" x14ac:dyDescent="0.2">
      <c r="C259" s="57" t="s">
        <v>550</v>
      </c>
      <c r="D259" s="58"/>
      <c r="E259" s="58"/>
      <c r="G259" s="16">
        <v>1189.08</v>
      </c>
    </row>
    <row r="260" spans="1:62" x14ac:dyDescent="0.2">
      <c r="A260" s="4" t="s">
        <v>75</v>
      </c>
      <c r="B260" s="4" t="s">
        <v>233</v>
      </c>
      <c r="C260" s="59" t="s">
        <v>551</v>
      </c>
      <c r="D260" s="60"/>
      <c r="E260" s="60"/>
      <c r="F260" s="4" t="s">
        <v>821</v>
      </c>
      <c r="G260" s="15">
        <v>22.63128</v>
      </c>
      <c r="H260" s="15">
        <v>0</v>
      </c>
      <c r="I260" s="15">
        <f>G260*AO260</f>
        <v>0</v>
      </c>
      <c r="J260" s="15">
        <f>G260*AP260</f>
        <v>0</v>
      </c>
      <c r="K260" s="15">
        <f>G260*H260</f>
        <v>0</v>
      </c>
      <c r="L260" s="27" t="s">
        <v>841</v>
      </c>
      <c r="Z260" s="32">
        <f>IF(AQ260="5",BJ260,0)</f>
        <v>0</v>
      </c>
      <c r="AB260" s="32">
        <f>IF(AQ260="1",BH260,0)</f>
        <v>0</v>
      </c>
      <c r="AC260" s="32">
        <f>IF(AQ260="1",BI260,0)</f>
        <v>0</v>
      </c>
      <c r="AD260" s="32">
        <f>IF(AQ260="7",BH260,0)</f>
        <v>0</v>
      </c>
      <c r="AE260" s="32">
        <f>IF(AQ260="7",BI260,0)</f>
        <v>0</v>
      </c>
      <c r="AF260" s="32">
        <f>IF(AQ260="2",BH260,0)</f>
        <v>0</v>
      </c>
      <c r="AG260" s="32">
        <f>IF(AQ260="2",BI260,0)</f>
        <v>0</v>
      </c>
      <c r="AH260" s="32">
        <f>IF(AQ260="0",BJ260,0)</f>
        <v>0</v>
      </c>
      <c r="AI260" s="28"/>
      <c r="AJ260" s="15">
        <f>IF(AN260=0,K260,0)</f>
        <v>0</v>
      </c>
      <c r="AK260" s="15">
        <f>IF(AN260=15,K260,0)</f>
        <v>0</v>
      </c>
      <c r="AL260" s="15">
        <f>IF(AN260=21,K260,0)</f>
        <v>0</v>
      </c>
      <c r="AN260" s="32">
        <v>21</v>
      </c>
      <c r="AO260" s="32">
        <f>H260*0</f>
        <v>0</v>
      </c>
      <c r="AP260" s="32">
        <f>H260*(1-0)</f>
        <v>0</v>
      </c>
      <c r="AQ260" s="27" t="s">
        <v>11</v>
      </c>
      <c r="AV260" s="32">
        <f>AW260+AX260</f>
        <v>0</v>
      </c>
      <c r="AW260" s="32">
        <f>G260*AO260</f>
        <v>0</v>
      </c>
      <c r="AX260" s="32">
        <f>G260*AP260</f>
        <v>0</v>
      </c>
      <c r="AY260" s="33" t="s">
        <v>868</v>
      </c>
      <c r="AZ260" s="33" t="s">
        <v>888</v>
      </c>
      <c r="BA260" s="28" t="s">
        <v>891</v>
      </c>
      <c r="BC260" s="32">
        <f>AW260+AX260</f>
        <v>0</v>
      </c>
      <c r="BD260" s="32">
        <f>H260/(100-BE260)*100</f>
        <v>0</v>
      </c>
      <c r="BE260" s="32">
        <v>0</v>
      </c>
      <c r="BF260" s="32">
        <f>260</f>
        <v>260</v>
      </c>
      <c r="BH260" s="15">
        <f>G260*AO260</f>
        <v>0</v>
      </c>
      <c r="BI260" s="15">
        <f>G260*AP260</f>
        <v>0</v>
      </c>
      <c r="BJ260" s="15">
        <f>G260*H260</f>
        <v>0</v>
      </c>
    </row>
    <row r="261" spans="1:62" x14ac:dyDescent="0.2">
      <c r="C261" s="57" t="s">
        <v>552</v>
      </c>
      <c r="D261" s="58"/>
      <c r="E261" s="58"/>
      <c r="G261" s="16">
        <v>22.63128</v>
      </c>
    </row>
    <row r="262" spans="1:62" x14ac:dyDescent="0.2">
      <c r="A262" s="5"/>
      <c r="B262" s="13" t="s">
        <v>234</v>
      </c>
      <c r="C262" s="65" t="s">
        <v>553</v>
      </c>
      <c r="D262" s="66"/>
      <c r="E262" s="66"/>
      <c r="F262" s="5" t="s">
        <v>6</v>
      </c>
      <c r="G262" s="5" t="s">
        <v>6</v>
      </c>
      <c r="H262" s="5" t="s">
        <v>6</v>
      </c>
      <c r="I262" s="35">
        <f>SUM(I263:I267)</f>
        <v>0</v>
      </c>
      <c r="J262" s="35">
        <f>SUM(J263:J267)</f>
        <v>0</v>
      </c>
      <c r="K262" s="35">
        <f>SUM(K263:K267)</f>
        <v>0</v>
      </c>
      <c r="L262" s="28"/>
      <c r="AI262" s="28"/>
      <c r="AS262" s="35">
        <f>SUM(AJ263:AJ267)</f>
        <v>0</v>
      </c>
      <c r="AT262" s="35">
        <f>SUM(AK263:AK267)</f>
        <v>0</v>
      </c>
      <c r="AU262" s="35">
        <f>SUM(AL263:AL267)</f>
        <v>0</v>
      </c>
    </row>
    <row r="263" spans="1:62" x14ac:dyDescent="0.2">
      <c r="A263" s="4" t="s">
        <v>76</v>
      </c>
      <c r="B263" s="4" t="s">
        <v>235</v>
      </c>
      <c r="C263" s="59" t="s">
        <v>554</v>
      </c>
      <c r="D263" s="60"/>
      <c r="E263" s="60"/>
      <c r="F263" s="4" t="s">
        <v>817</v>
      </c>
      <c r="G263" s="15">
        <v>148.5</v>
      </c>
      <c r="H263" s="15">
        <v>0</v>
      </c>
      <c r="I263" s="15">
        <f>G263*AO263</f>
        <v>0</v>
      </c>
      <c r="J263" s="15">
        <f>G263*AP263</f>
        <v>0</v>
      </c>
      <c r="K263" s="15">
        <f>G263*H263</f>
        <v>0</v>
      </c>
      <c r="L263" s="27" t="s">
        <v>839</v>
      </c>
      <c r="Z263" s="32">
        <f>IF(AQ263="5",BJ263,0)</f>
        <v>0</v>
      </c>
      <c r="AB263" s="32">
        <f>IF(AQ263="1",BH263,0)</f>
        <v>0</v>
      </c>
      <c r="AC263" s="32">
        <f>IF(AQ263="1",BI263,0)</f>
        <v>0</v>
      </c>
      <c r="AD263" s="32">
        <f>IF(AQ263="7",BH263,0)</f>
        <v>0</v>
      </c>
      <c r="AE263" s="32">
        <f>IF(AQ263="7",BI263,0)</f>
        <v>0</v>
      </c>
      <c r="AF263" s="32">
        <f>IF(AQ263="2",BH263,0)</f>
        <v>0</v>
      </c>
      <c r="AG263" s="32">
        <f>IF(AQ263="2",BI263,0)</f>
        <v>0</v>
      </c>
      <c r="AH263" s="32">
        <f>IF(AQ263="0",BJ263,0)</f>
        <v>0</v>
      </c>
      <c r="AI263" s="28"/>
      <c r="AJ263" s="15">
        <f>IF(AN263=0,K263,0)</f>
        <v>0</v>
      </c>
      <c r="AK263" s="15">
        <f>IF(AN263=15,K263,0)</f>
        <v>0</v>
      </c>
      <c r="AL263" s="15">
        <f>IF(AN263=21,K263,0)</f>
        <v>0</v>
      </c>
      <c r="AN263" s="32">
        <v>21</v>
      </c>
      <c r="AO263" s="32">
        <f>H263*0.00829090909090909</f>
        <v>0</v>
      </c>
      <c r="AP263" s="32">
        <f>H263*(1-0.00829090909090909)</f>
        <v>0</v>
      </c>
      <c r="AQ263" s="27" t="s">
        <v>13</v>
      </c>
      <c r="AV263" s="32">
        <f>AW263+AX263</f>
        <v>0</v>
      </c>
      <c r="AW263" s="32">
        <f>G263*AO263</f>
        <v>0</v>
      </c>
      <c r="AX263" s="32">
        <f>G263*AP263</f>
        <v>0</v>
      </c>
      <c r="AY263" s="33" t="s">
        <v>869</v>
      </c>
      <c r="AZ263" s="33" t="s">
        <v>888</v>
      </c>
      <c r="BA263" s="28" t="s">
        <v>891</v>
      </c>
      <c r="BC263" s="32">
        <f>AW263+AX263</f>
        <v>0</v>
      </c>
      <c r="BD263" s="32">
        <f>H263/(100-BE263)*100</f>
        <v>0</v>
      </c>
      <c r="BE263" s="32">
        <v>0</v>
      </c>
      <c r="BF263" s="32">
        <f>263</f>
        <v>263</v>
      </c>
      <c r="BH263" s="15">
        <f>G263*AO263</f>
        <v>0</v>
      </c>
      <c r="BI263" s="15">
        <f>G263*AP263</f>
        <v>0</v>
      </c>
      <c r="BJ263" s="15">
        <f>G263*H263</f>
        <v>0</v>
      </c>
    </row>
    <row r="264" spans="1:62" x14ac:dyDescent="0.2">
      <c r="C264" s="57" t="s">
        <v>555</v>
      </c>
      <c r="D264" s="58"/>
      <c r="E264" s="58"/>
      <c r="G264" s="16">
        <v>148.5</v>
      </c>
    </row>
    <row r="265" spans="1:62" x14ac:dyDescent="0.2">
      <c r="A265" s="6" t="s">
        <v>77</v>
      </c>
      <c r="B265" s="6" t="s">
        <v>236</v>
      </c>
      <c r="C265" s="67" t="s">
        <v>556</v>
      </c>
      <c r="D265" s="68"/>
      <c r="E265" s="68"/>
      <c r="F265" s="6" t="s">
        <v>817</v>
      </c>
      <c r="G265" s="17">
        <v>163.35</v>
      </c>
      <c r="H265" s="17">
        <v>0</v>
      </c>
      <c r="I265" s="17">
        <f>G265*AO265</f>
        <v>0</v>
      </c>
      <c r="J265" s="17">
        <f>G265*AP265</f>
        <v>0</v>
      </c>
      <c r="K265" s="17">
        <f>G265*H265</f>
        <v>0</v>
      </c>
      <c r="L265" s="29" t="s">
        <v>839</v>
      </c>
      <c r="Z265" s="32">
        <f>IF(AQ265="5",BJ265,0)</f>
        <v>0</v>
      </c>
      <c r="AB265" s="32">
        <f>IF(AQ265="1",BH265,0)</f>
        <v>0</v>
      </c>
      <c r="AC265" s="32">
        <f>IF(AQ265="1",BI265,0)</f>
        <v>0</v>
      </c>
      <c r="AD265" s="32">
        <f>IF(AQ265="7",BH265,0)</f>
        <v>0</v>
      </c>
      <c r="AE265" s="32">
        <f>IF(AQ265="7",BI265,0)</f>
        <v>0</v>
      </c>
      <c r="AF265" s="32">
        <f>IF(AQ265="2",BH265,0)</f>
        <v>0</v>
      </c>
      <c r="AG265" s="32">
        <f>IF(AQ265="2",BI265,0)</f>
        <v>0</v>
      </c>
      <c r="AH265" s="32">
        <f>IF(AQ265="0",BJ265,0)</f>
        <v>0</v>
      </c>
      <c r="AI265" s="28"/>
      <c r="AJ265" s="17">
        <f>IF(AN265=0,K265,0)</f>
        <v>0</v>
      </c>
      <c r="AK265" s="17">
        <f>IF(AN265=15,K265,0)</f>
        <v>0</v>
      </c>
      <c r="AL265" s="17">
        <f>IF(AN265=21,K265,0)</f>
        <v>0</v>
      </c>
      <c r="AN265" s="32">
        <v>21</v>
      </c>
      <c r="AO265" s="32">
        <f>H265*1</f>
        <v>0</v>
      </c>
      <c r="AP265" s="32">
        <f>H265*(1-1)</f>
        <v>0</v>
      </c>
      <c r="AQ265" s="29" t="s">
        <v>13</v>
      </c>
      <c r="AV265" s="32">
        <f>AW265+AX265</f>
        <v>0</v>
      </c>
      <c r="AW265" s="32">
        <f>G265*AO265</f>
        <v>0</v>
      </c>
      <c r="AX265" s="32">
        <f>G265*AP265</f>
        <v>0</v>
      </c>
      <c r="AY265" s="33" t="s">
        <v>869</v>
      </c>
      <c r="AZ265" s="33" t="s">
        <v>888</v>
      </c>
      <c r="BA265" s="28" t="s">
        <v>891</v>
      </c>
      <c r="BC265" s="32">
        <f>AW265+AX265</f>
        <v>0</v>
      </c>
      <c r="BD265" s="32">
        <f>H265/(100-BE265)*100</f>
        <v>0</v>
      </c>
      <c r="BE265" s="32">
        <v>0</v>
      </c>
      <c r="BF265" s="32">
        <f>265</f>
        <v>265</v>
      </c>
      <c r="BH265" s="17">
        <f>G265*AO265</f>
        <v>0</v>
      </c>
      <c r="BI265" s="17">
        <f>G265*AP265</f>
        <v>0</v>
      </c>
      <c r="BJ265" s="17">
        <f>G265*H265</f>
        <v>0</v>
      </c>
    </row>
    <row r="266" spans="1:62" x14ac:dyDescent="0.2">
      <c r="C266" s="57" t="s">
        <v>557</v>
      </c>
      <c r="D266" s="58"/>
      <c r="E266" s="58"/>
      <c r="G266" s="16">
        <v>163.35</v>
      </c>
    </row>
    <row r="267" spans="1:62" x14ac:dyDescent="0.2">
      <c r="A267" s="4" t="s">
        <v>78</v>
      </c>
      <c r="B267" s="4" t="s">
        <v>237</v>
      </c>
      <c r="C267" s="59" t="s">
        <v>558</v>
      </c>
      <c r="D267" s="60"/>
      <c r="E267" s="60"/>
      <c r="F267" s="4" t="s">
        <v>821</v>
      </c>
      <c r="G267" s="15">
        <v>2.4071899999999999</v>
      </c>
      <c r="H267" s="15">
        <v>0</v>
      </c>
      <c r="I267" s="15">
        <f>G267*AO267</f>
        <v>0</v>
      </c>
      <c r="J267" s="15">
        <f>G267*AP267</f>
        <v>0</v>
      </c>
      <c r="K267" s="15">
        <f>G267*H267</f>
        <v>0</v>
      </c>
      <c r="L267" s="27" t="s">
        <v>839</v>
      </c>
      <c r="Z267" s="32">
        <f>IF(AQ267="5",BJ267,0)</f>
        <v>0</v>
      </c>
      <c r="AB267" s="32">
        <f>IF(AQ267="1",BH267,0)</f>
        <v>0</v>
      </c>
      <c r="AC267" s="32">
        <f>IF(AQ267="1",BI267,0)</f>
        <v>0</v>
      </c>
      <c r="AD267" s="32">
        <f>IF(AQ267="7",BH267,0)</f>
        <v>0</v>
      </c>
      <c r="AE267" s="32">
        <f>IF(AQ267="7",BI267,0)</f>
        <v>0</v>
      </c>
      <c r="AF267" s="32">
        <f>IF(AQ267="2",BH267,0)</f>
        <v>0</v>
      </c>
      <c r="AG267" s="32">
        <f>IF(AQ267="2",BI267,0)</f>
        <v>0</v>
      </c>
      <c r="AH267" s="32">
        <f>IF(AQ267="0",BJ267,0)</f>
        <v>0</v>
      </c>
      <c r="AI267" s="28"/>
      <c r="AJ267" s="15">
        <f>IF(AN267=0,K267,0)</f>
        <v>0</v>
      </c>
      <c r="AK267" s="15">
        <f>IF(AN267=15,K267,0)</f>
        <v>0</v>
      </c>
      <c r="AL267" s="15">
        <f>IF(AN267=21,K267,0)</f>
        <v>0</v>
      </c>
      <c r="AN267" s="32">
        <v>21</v>
      </c>
      <c r="AO267" s="32">
        <f>H267*0</f>
        <v>0</v>
      </c>
      <c r="AP267" s="32">
        <f>H267*(1-0)</f>
        <v>0</v>
      </c>
      <c r="AQ267" s="27" t="s">
        <v>11</v>
      </c>
      <c r="AV267" s="32">
        <f>AW267+AX267</f>
        <v>0</v>
      </c>
      <c r="AW267" s="32">
        <f>G267*AO267</f>
        <v>0</v>
      </c>
      <c r="AX267" s="32">
        <f>G267*AP267</f>
        <v>0</v>
      </c>
      <c r="AY267" s="33" t="s">
        <v>869</v>
      </c>
      <c r="AZ267" s="33" t="s">
        <v>888</v>
      </c>
      <c r="BA267" s="28" t="s">
        <v>891</v>
      </c>
      <c r="BC267" s="32">
        <f>AW267+AX267</f>
        <v>0</v>
      </c>
      <c r="BD267" s="32">
        <f>H267/(100-BE267)*100</f>
        <v>0</v>
      </c>
      <c r="BE267" s="32">
        <v>0</v>
      </c>
      <c r="BF267" s="32">
        <f>267</f>
        <v>267</v>
      </c>
      <c r="BH267" s="15">
        <f>G267*AO267</f>
        <v>0</v>
      </c>
      <c r="BI267" s="15">
        <f>G267*AP267</f>
        <v>0</v>
      </c>
      <c r="BJ267" s="15">
        <f>G267*H267</f>
        <v>0</v>
      </c>
    </row>
    <row r="268" spans="1:62" x14ac:dyDescent="0.2">
      <c r="C268" s="57" t="s">
        <v>559</v>
      </c>
      <c r="D268" s="58"/>
      <c r="E268" s="58"/>
      <c r="G268" s="16">
        <v>2.4071899999999999</v>
      </c>
    </row>
    <row r="269" spans="1:62" x14ac:dyDescent="0.2">
      <c r="A269" s="5"/>
      <c r="B269" s="13" t="s">
        <v>238</v>
      </c>
      <c r="C269" s="65" t="s">
        <v>560</v>
      </c>
      <c r="D269" s="66"/>
      <c r="E269" s="66"/>
      <c r="F269" s="5" t="s">
        <v>6</v>
      </c>
      <c r="G269" s="5" t="s">
        <v>6</v>
      </c>
      <c r="H269" s="5" t="s">
        <v>6</v>
      </c>
      <c r="I269" s="35">
        <f>SUM(I270:I295)</f>
        <v>0</v>
      </c>
      <c r="J269" s="35">
        <f>SUM(J270:J295)</f>
        <v>0</v>
      </c>
      <c r="K269" s="35">
        <f>SUM(K270:K295)</f>
        <v>0</v>
      </c>
      <c r="L269" s="28"/>
      <c r="AI269" s="28"/>
      <c r="AS269" s="35">
        <f>SUM(AJ270:AJ295)</f>
        <v>0</v>
      </c>
      <c r="AT269" s="35">
        <f>SUM(AK270:AK295)</f>
        <v>0</v>
      </c>
      <c r="AU269" s="35">
        <f>SUM(AL270:AL295)</f>
        <v>0</v>
      </c>
    </row>
    <row r="270" spans="1:62" x14ac:dyDescent="0.2">
      <c r="A270" s="4" t="s">
        <v>79</v>
      </c>
      <c r="B270" s="4" t="s">
        <v>239</v>
      </c>
      <c r="C270" s="59" t="s">
        <v>561</v>
      </c>
      <c r="D270" s="60"/>
      <c r="E270" s="60"/>
      <c r="F270" s="4" t="s">
        <v>816</v>
      </c>
      <c r="G270" s="15">
        <v>181.9</v>
      </c>
      <c r="H270" s="15">
        <v>0</v>
      </c>
      <c r="I270" s="15">
        <f>G270*AO270</f>
        <v>0</v>
      </c>
      <c r="J270" s="15">
        <f>G270*AP270</f>
        <v>0</v>
      </c>
      <c r="K270" s="15">
        <f>G270*H270</f>
        <v>0</v>
      </c>
      <c r="L270" s="27" t="s">
        <v>839</v>
      </c>
      <c r="Z270" s="32">
        <f>IF(AQ270="5",BJ270,0)</f>
        <v>0</v>
      </c>
      <c r="AB270" s="32">
        <f>IF(AQ270="1",BH270,0)</f>
        <v>0</v>
      </c>
      <c r="AC270" s="32">
        <f>IF(AQ270="1",BI270,0)</f>
        <v>0</v>
      </c>
      <c r="AD270" s="32">
        <f>IF(AQ270="7",BH270,0)</f>
        <v>0</v>
      </c>
      <c r="AE270" s="32">
        <f>IF(AQ270="7",BI270,0)</f>
        <v>0</v>
      </c>
      <c r="AF270" s="32">
        <f>IF(AQ270="2",BH270,0)</f>
        <v>0</v>
      </c>
      <c r="AG270" s="32">
        <f>IF(AQ270="2",BI270,0)</f>
        <v>0</v>
      </c>
      <c r="AH270" s="32">
        <f>IF(AQ270="0",BJ270,0)</f>
        <v>0</v>
      </c>
      <c r="AI270" s="28"/>
      <c r="AJ270" s="15">
        <f>IF(AN270=0,K270,0)</f>
        <v>0</v>
      </c>
      <c r="AK270" s="15">
        <f>IF(AN270=15,K270,0)</f>
        <v>0</v>
      </c>
      <c r="AL270" s="15">
        <f>IF(AN270=21,K270,0)</f>
        <v>0</v>
      </c>
      <c r="AN270" s="32">
        <v>21</v>
      </c>
      <c r="AO270" s="32">
        <f>H270*0</f>
        <v>0</v>
      </c>
      <c r="AP270" s="32">
        <f>H270*(1-0)</f>
        <v>0</v>
      </c>
      <c r="AQ270" s="27" t="s">
        <v>13</v>
      </c>
      <c r="AV270" s="32">
        <f>AW270+AX270</f>
        <v>0</v>
      </c>
      <c r="AW270" s="32">
        <f>G270*AO270</f>
        <v>0</v>
      </c>
      <c r="AX270" s="32">
        <f>G270*AP270</f>
        <v>0</v>
      </c>
      <c r="AY270" s="33" t="s">
        <v>870</v>
      </c>
      <c r="AZ270" s="33" t="s">
        <v>888</v>
      </c>
      <c r="BA270" s="28" t="s">
        <v>891</v>
      </c>
      <c r="BC270" s="32">
        <f>AW270+AX270</f>
        <v>0</v>
      </c>
      <c r="BD270" s="32">
        <f>H270/(100-BE270)*100</f>
        <v>0</v>
      </c>
      <c r="BE270" s="32">
        <v>0</v>
      </c>
      <c r="BF270" s="32">
        <f>270</f>
        <v>270</v>
      </c>
      <c r="BH270" s="15">
        <f>G270*AO270</f>
        <v>0</v>
      </c>
      <c r="BI270" s="15">
        <f>G270*AP270</f>
        <v>0</v>
      </c>
      <c r="BJ270" s="15">
        <f>G270*H270</f>
        <v>0</v>
      </c>
    </row>
    <row r="271" spans="1:62" x14ac:dyDescent="0.2">
      <c r="C271" s="57" t="s">
        <v>562</v>
      </c>
      <c r="D271" s="58"/>
      <c r="E271" s="58"/>
      <c r="G271" s="16">
        <v>86.4</v>
      </c>
    </row>
    <row r="272" spans="1:62" x14ac:dyDescent="0.2">
      <c r="C272" s="57" t="s">
        <v>563</v>
      </c>
      <c r="D272" s="58"/>
      <c r="E272" s="58"/>
      <c r="G272" s="16">
        <v>43.5</v>
      </c>
    </row>
    <row r="273" spans="1:62" x14ac:dyDescent="0.2">
      <c r="C273" s="57" t="s">
        <v>564</v>
      </c>
      <c r="D273" s="58"/>
      <c r="E273" s="58"/>
      <c r="G273" s="16">
        <v>37.799999999999997</v>
      </c>
    </row>
    <row r="274" spans="1:62" x14ac:dyDescent="0.2">
      <c r="C274" s="57" t="s">
        <v>565</v>
      </c>
      <c r="D274" s="58"/>
      <c r="E274" s="58"/>
      <c r="G274" s="16">
        <v>7.2</v>
      </c>
    </row>
    <row r="275" spans="1:62" x14ac:dyDescent="0.2">
      <c r="C275" s="57" t="s">
        <v>566</v>
      </c>
      <c r="D275" s="58"/>
      <c r="E275" s="58"/>
      <c r="G275" s="16">
        <v>3.6</v>
      </c>
    </row>
    <row r="276" spans="1:62" x14ac:dyDescent="0.2">
      <c r="C276" s="57" t="s">
        <v>567</v>
      </c>
      <c r="D276" s="58"/>
      <c r="E276" s="58"/>
      <c r="G276" s="16">
        <v>1.6</v>
      </c>
    </row>
    <row r="277" spans="1:62" x14ac:dyDescent="0.2">
      <c r="C277" s="57" t="s">
        <v>568</v>
      </c>
      <c r="D277" s="58"/>
      <c r="E277" s="58"/>
      <c r="G277" s="16">
        <v>1.8</v>
      </c>
    </row>
    <row r="278" spans="1:62" x14ac:dyDescent="0.2">
      <c r="A278" s="4" t="s">
        <v>80</v>
      </c>
      <c r="B278" s="4" t="s">
        <v>240</v>
      </c>
      <c r="C278" s="59" t="s">
        <v>569</v>
      </c>
      <c r="D278" s="60"/>
      <c r="E278" s="60"/>
      <c r="F278" s="4" t="s">
        <v>816</v>
      </c>
      <c r="G278" s="15">
        <v>270</v>
      </c>
      <c r="H278" s="15">
        <v>0</v>
      </c>
      <c r="I278" s="15">
        <f>G278*AO278</f>
        <v>0</v>
      </c>
      <c r="J278" s="15">
        <f>G278*AP278</f>
        <v>0</v>
      </c>
      <c r="K278" s="15">
        <f>G278*H278</f>
        <v>0</v>
      </c>
      <c r="L278" s="27" t="s">
        <v>839</v>
      </c>
      <c r="Z278" s="32">
        <f>IF(AQ278="5",BJ278,0)</f>
        <v>0</v>
      </c>
      <c r="AB278" s="32">
        <f>IF(AQ278="1",BH278,0)</f>
        <v>0</v>
      </c>
      <c r="AC278" s="32">
        <f>IF(AQ278="1",BI278,0)</f>
        <v>0</v>
      </c>
      <c r="AD278" s="32">
        <f>IF(AQ278="7",BH278,0)</f>
        <v>0</v>
      </c>
      <c r="AE278" s="32">
        <f>IF(AQ278="7",BI278,0)</f>
        <v>0</v>
      </c>
      <c r="AF278" s="32">
        <f>IF(AQ278="2",BH278,0)</f>
        <v>0</v>
      </c>
      <c r="AG278" s="32">
        <f>IF(AQ278="2",BI278,0)</f>
        <v>0</v>
      </c>
      <c r="AH278" s="32">
        <f>IF(AQ278="0",BJ278,0)</f>
        <v>0</v>
      </c>
      <c r="AI278" s="28"/>
      <c r="AJ278" s="15">
        <f>IF(AN278=0,K278,0)</f>
        <v>0</v>
      </c>
      <c r="AK278" s="15">
        <f>IF(AN278=15,K278,0)</f>
        <v>0</v>
      </c>
      <c r="AL278" s="15">
        <f>IF(AN278=21,K278,0)</f>
        <v>0</v>
      </c>
      <c r="AN278" s="32">
        <v>21</v>
      </c>
      <c r="AO278" s="32">
        <f>H278*0</f>
        <v>0</v>
      </c>
      <c r="AP278" s="32">
        <f>H278*(1-0)</f>
        <v>0</v>
      </c>
      <c r="AQ278" s="27" t="s">
        <v>13</v>
      </c>
      <c r="AV278" s="32">
        <f>AW278+AX278</f>
        <v>0</v>
      </c>
      <c r="AW278" s="32">
        <f>G278*AO278</f>
        <v>0</v>
      </c>
      <c r="AX278" s="32">
        <f>G278*AP278</f>
        <v>0</v>
      </c>
      <c r="AY278" s="33" t="s">
        <v>870</v>
      </c>
      <c r="AZ278" s="33" t="s">
        <v>888</v>
      </c>
      <c r="BA278" s="28" t="s">
        <v>891</v>
      </c>
      <c r="BC278" s="32">
        <f>AW278+AX278</f>
        <v>0</v>
      </c>
      <c r="BD278" s="32">
        <f>H278/(100-BE278)*100</f>
        <v>0</v>
      </c>
      <c r="BE278" s="32">
        <v>0</v>
      </c>
      <c r="BF278" s="32">
        <f>278</f>
        <v>278</v>
      </c>
      <c r="BH278" s="15">
        <f>G278*AO278</f>
        <v>0</v>
      </c>
      <c r="BI278" s="15">
        <f>G278*AP278</f>
        <v>0</v>
      </c>
      <c r="BJ278" s="15">
        <f>G278*H278</f>
        <v>0</v>
      </c>
    </row>
    <row r="279" spans="1:62" x14ac:dyDescent="0.2">
      <c r="C279" s="57" t="s">
        <v>570</v>
      </c>
      <c r="D279" s="58"/>
      <c r="E279" s="58"/>
      <c r="G279" s="16">
        <v>133</v>
      </c>
    </row>
    <row r="280" spans="1:62" x14ac:dyDescent="0.2">
      <c r="C280" s="57" t="s">
        <v>571</v>
      </c>
      <c r="D280" s="58"/>
      <c r="E280" s="58"/>
      <c r="G280" s="16">
        <v>137</v>
      </c>
    </row>
    <row r="281" spans="1:62" x14ac:dyDescent="0.2">
      <c r="C281" s="57" t="s">
        <v>572</v>
      </c>
      <c r="D281" s="58"/>
      <c r="E281" s="58"/>
      <c r="G281" s="16">
        <v>0</v>
      </c>
    </row>
    <row r="282" spans="1:62" x14ac:dyDescent="0.2">
      <c r="A282" s="4" t="s">
        <v>81</v>
      </c>
      <c r="B282" s="4" t="s">
        <v>241</v>
      </c>
      <c r="C282" s="59" t="s">
        <v>573</v>
      </c>
      <c r="D282" s="60"/>
      <c r="E282" s="60"/>
      <c r="F282" s="4" t="s">
        <v>817</v>
      </c>
      <c r="G282" s="15">
        <v>22</v>
      </c>
      <c r="H282" s="15">
        <v>0</v>
      </c>
      <c r="I282" s="15">
        <f>G282*AO282</f>
        <v>0</v>
      </c>
      <c r="J282" s="15">
        <f>G282*AP282</f>
        <v>0</v>
      </c>
      <c r="K282" s="15">
        <f>G282*H282</f>
        <v>0</v>
      </c>
      <c r="L282" s="27" t="s">
        <v>839</v>
      </c>
      <c r="Z282" s="32">
        <f>IF(AQ282="5",BJ282,0)</f>
        <v>0</v>
      </c>
      <c r="AB282" s="32">
        <f>IF(AQ282="1",BH282,0)</f>
        <v>0</v>
      </c>
      <c r="AC282" s="32">
        <f>IF(AQ282="1",BI282,0)</f>
        <v>0</v>
      </c>
      <c r="AD282" s="32">
        <f>IF(AQ282="7",BH282,0)</f>
        <v>0</v>
      </c>
      <c r="AE282" s="32">
        <f>IF(AQ282="7",BI282,0)</f>
        <v>0</v>
      </c>
      <c r="AF282" s="32">
        <f>IF(AQ282="2",BH282,0)</f>
        <v>0</v>
      </c>
      <c r="AG282" s="32">
        <f>IF(AQ282="2",BI282,0)</f>
        <v>0</v>
      </c>
      <c r="AH282" s="32">
        <f>IF(AQ282="0",BJ282,0)</f>
        <v>0</v>
      </c>
      <c r="AI282" s="28"/>
      <c r="AJ282" s="15">
        <f>IF(AN282=0,K282,0)</f>
        <v>0</v>
      </c>
      <c r="AK282" s="15">
        <f>IF(AN282=15,K282,0)</f>
        <v>0</v>
      </c>
      <c r="AL282" s="15">
        <f>IF(AN282=21,K282,0)</f>
        <v>0</v>
      </c>
      <c r="AN282" s="32">
        <v>21</v>
      </c>
      <c r="AO282" s="32">
        <f>H282*0</f>
        <v>0</v>
      </c>
      <c r="AP282" s="32">
        <f>H282*(1-0)</f>
        <v>0</v>
      </c>
      <c r="AQ282" s="27" t="s">
        <v>13</v>
      </c>
      <c r="AV282" s="32">
        <f>AW282+AX282</f>
        <v>0</v>
      </c>
      <c r="AW282" s="32">
        <f>G282*AO282</f>
        <v>0</v>
      </c>
      <c r="AX282" s="32">
        <f>G282*AP282</f>
        <v>0</v>
      </c>
      <c r="AY282" s="33" t="s">
        <v>870</v>
      </c>
      <c r="AZ282" s="33" t="s">
        <v>888</v>
      </c>
      <c r="BA282" s="28" t="s">
        <v>891</v>
      </c>
      <c r="BC282" s="32">
        <f>AW282+AX282</f>
        <v>0</v>
      </c>
      <c r="BD282" s="32">
        <f>H282/(100-BE282)*100</f>
        <v>0</v>
      </c>
      <c r="BE282" s="32">
        <v>0</v>
      </c>
      <c r="BF282" s="32">
        <f>282</f>
        <v>282</v>
      </c>
      <c r="BH282" s="15">
        <f>G282*AO282</f>
        <v>0</v>
      </c>
      <c r="BI282" s="15">
        <f>G282*AP282</f>
        <v>0</v>
      </c>
      <c r="BJ282" s="15">
        <f>G282*H282</f>
        <v>0</v>
      </c>
    </row>
    <row r="283" spans="1:62" x14ac:dyDescent="0.2">
      <c r="C283" s="57" t="s">
        <v>574</v>
      </c>
      <c r="D283" s="58"/>
      <c r="E283" s="58"/>
      <c r="G283" s="16">
        <v>22</v>
      </c>
    </row>
    <row r="284" spans="1:62" x14ac:dyDescent="0.2">
      <c r="A284" s="4" t="s">
        <v>82</v>
      </c>
      <c r="B284" s="4" t="s">
        <v>242</v>
      </c>
      <c r="C284" s="59" t="s">
        <v>575</v>
      </c>
      <c r="D284" s="60"/>
      <c r="E284" s="60"/>
      <c r="F284" s="4" t="s">
        <v>816</v>
      </c>
      <c r="G284" s="15">
        <v>185.8</v>
      </c>
      <c r="H284" s="15">
        <v>0</v>
      </c>
      <c r="I284" s="15">
        <f>G284*AO284</f>
        <v>0</v>
      </c>
      <c r="J284" s="15">
        <f>G284*AP284</f>
        <v>0</v>
      </c>
      <c r="K284" s="15">
        <f>G284*H284</f>
        <v>0</v>
      </c>
      <c r="L284" s="27" t="s">
        <v>839</v>
      </c>
      <c r="Z284" s="32">
        <f>IF(AQ284="5",BJ284,0)</f>
        <v>0</v>
      </c>
      <c r="AB284" s="32">
        <f>IF(AQ284="1",BH284,0)</f>
        <v>0</v>
      </c>
      <c r="AC284" s="32">
        <f>IF(AQ284="1",BI284,0)</f>
        <v>0</v>
      </c>
      <c r="AD284" s="32">
        <f>IF(AQ284="7",BH284,0)</f>
        <v>0</v>
      </c>
      <c r="AE284" s="32">
        <f>IF(AQ284="7",BI284,0)</f>
        <v>0</v>
      </c>
      <c r="AF284" s="32">
        <f>IF(AQ284="2",BH284,0)</f>
        <v>0</v>
      </c>
      <c r="AG284" s="32">
        <f>IF(AQ284="2",BI284,0)</f>
        <v>0</v>
      </c>
      <c r="AH284" s="32">
        <f>IF(AQ284="0",BJ284,0)</f>
        <v>0</v>
      </c>
      <c r="AI284" s="28"/>
      <c r="AJ284" s="15">
        <f>IF(AN284=0,K284,0)</f>
        <v>0</v>
      </c>
      <c r="AK284" s="15">
        <f>IF(AN284=15,K284,0)</f>
        <v>0</v>
      </c>
      <c r="AL284" s="15">
        <f>IF(AN284=21,K284,0)</f>
        <v>0</v>
      </c>
      <c r="AN284" s="32">
        <v>21</v>
      </c>
      <c r="AO284" s="32">
        <f>H284*0.200098039215686</f>
        <v>0</v>
      </c>
      <c r="AP284" s="32">
        <f>H284*(1-0.200098039215686)</f>
        <v>0</v>
      </c>
      <c r="AQ284" s="27" t="s">
        <v>13</v>
      </c>
      <c r="AV284" s="32">
        <f>AW284+AX284</f>
        <v>0</v>
      </c>
      <c r="AW284" s="32">
        <f>G284*AO284</f>
        <v>0</v>
      </c>
      <c r="AX284" s="32">
        <f>G284*AP284</f>
        <v>0</v>
      </c>
      <c r="AY284" s="33" t="s">
        <v>870</v>
      </c>
      <c r="AZ284" s="33" t="s">
        <v>888</v>
      </c>
      <c r="BA284" s="28" t="s">
        <v>891</v>
      </c>
      <c r="BC284" s="32">
        <f>AW284+AX284</f>
        <v>0</v>
      </c>
      <c r="BD284" s="32">
        <f>H284/(100-BE284)*100</f>
        <v>0</v>
      </c>
      <c r="BE284" s="32">
        <v>0</v>
      </c>
      <c r="BF284" s="32">
        <f>284</f>
        <v>284</v>
      </c>
      <c r="BH284" s="15">
        <f>G284*AO284</f>
        <v>0</v>
      </c>
      <c r="BI284" s="15">
        <f>G284*AP284</f>
        <v>0</v>
      </c>
      <c r="BJ284" s="15">
        <f>G284*H284</f>
        <v>0</v>
      </c>
    </row>
    <row r="285" spans="1:62" x14ac:dyDescent="0.2">
      <c r="C285" s="57" t="s">
        <v>576</v>
      </c>
      <c r="D285" s="58"/>
      <c r="E285" s="58"/>
      <c r="G285" s="16">
        <v>0.6</v>
      </c>
    </row>
    <row r="286" spans="1:62" x14ac:dyDescent="0.2">
      <c r="C286" s="57" t="s">
        <v>577</v>
      </c>
      <c r="D286" s="58"/>
      <c r="E286" s="58"/>
      <c r="G286" s="16">
        <v>8.4</v>
      </c>
    </row>
    <row r="287" spans="1:62" x14ac:dyDescent="0.2">
      <c r="C287" s="57" t="s">
        <v>578</v>
      </c>
      <c r="D287" s="58"/>
      <c r="E287" s="58"/>
      <c r="G287" s="16">
        <v>86.4</v>
      </c>
    </row>
    <row r="288" spans="1:62" x14ac:dyDescent="0.2">
      <c r="C288" s="57" t="s">
        <v>579</v>
      </c>
      <c r="D288" s="58"/>
      <c r="E288" s="58"/>
      <c r="G288" s="16">
        <v>43.5</v>
      </c>
    </row>
    <row r="289" spans="1:62" x14ac:dyDescent="0.2">
      <c r="C289" s="57" t="s">
        <v>580</v>
      </c>
      <c r="D289" s="58"/>
      <c r="E289" s="58"/>
      <c r="G289" s="16">
        <v>3.6</v>
      </c>
    </row>
    <row r="290" spans="1:62" x14ac:dyDescent="0.2">
      <c r="C290" s="57" t="s">
        <v>581</v>
      </c>
      <c r="D290" s="58"/>
      <c r="E290" s="58"/>
      <c r="G290" s="16">
        <v>1.8</v>
      </c>
    </row>
    <row r="291" spans="1:62" x14ac:dyDescent="0.2">
      <c r="C291" s="57" t="s">
        <v>582</v>
      </c>
      <c r="D291" s="58"/>
      <c r="E291" s="58"/>
      <c r="G291" s="16">
        <v>1.6</v>
      </c>
    </row>
    <row r="292" spans="1:62" x14ac:dyDescent="0.2">
      <c r="C292" s="57" t="s">
        <v>583</v>
      </c>
      <c r="D292" s="58"/>
      <c r="E292" s="58"/>
      <c r="G292" s="16">
        <v>39.9</v>
      </c>
    </row>
    <row r="293" spans="1:62" x14ac:dyDescent="0.2">
      <c r="A293" s="4" t="s">
        <v>83</v>
      </c>
      <c r="B293" s="4" t="s">
        <v>243</v>
      </c>
      <c r="C293" s="59" t="s">
        <v>949</v>
      </c>
      <c r="D293" s="60"/>
      <c r="E293" s="60"/>
      <c r="F293" s="4" t="s">
        <v>817</v>
      </c>
      <c r="G293" s="15">
        <v>22</v>
      </c>
      <c r="H293" s="15">
        <v>0</v>
      </c>
      <c r="I293" s="15">
        <f>G293*AO293</f>
        <v>0</v>
      </c>
      <c r="J293" s="15">
        <f>G293*AP293</f>
        <v>0</v>
      </c>
      <c r="K293" s="15">
        <f>G293*H293</f>
        <v>0</v>
      </c>
      <c r="L293" s="27" t="s">
        <v>839</v>
      </c>
      <c r="Z293" s="32">
        <f>IF(AQ293="5",BJ293,0)</f>
        <v>0</v>
      </c>
      <c r="AB293" s="32">
        <f>IF(AQ293="1",BH293,0)</f>
        <v>0</v>
      </c>
      <c r="AC293" s="32">
        <f>IF(AQ293="1",BI293,0)</f>
        <v>0</v>
      </c>
      <c r="AD293" s="32">
        <f>IF(AQ293="7",BH293,0)</f>
        <v>0</v>
      </c>
      <c r="AE293" s="32">
        <f>IF(AQ293="7",BI293,0)</f>
        <v>0</v>
      </c>
      <c r="AF293" s="32">
        <f>IF(AQ293="2",BH293,0)</f>
        <v>0</v>
      </c>
      <c r="AG293" s="32">
        <f>IF(AQ293="2",BI293,0)</f>
        <v>0</v>
      </c>
      <c r="AH293" s="32">
        <f>IF(AQ293="0",BJ293,0)</f>
        <v>0</v>
      </c>
      <c r="AI293" s="28"/>
      <c r="AJ293" s="15">
        <f>IF(AN293=0,K293,0)</f>
        <v>0</v>
      </c>
      <c r="AK293" s="15">
        <f>IF(AN293=15,K293,0)</f>
        <v>0</v>
      </c>
      <c r="AL293" s="15">
        <f>IF(AN293=21,K293,0)</f>
        <v>0</v>
      </c>
      <c r="AN293" s="32">
        <v>21</v>
      </c>
      <c r="AO293" s="32">
        <f>H293*0.507946107784431</f>
        <v>0</v>
      </c>
      <c r="AP293" s="32">
        <f>H293*(1-0.507946107784431)</f>
        <v>0</v>
      </c>
      <c r="AQ293" s="27" t="s">
        <v>13</v>
      </c>
      <c r="AV293" s="32">
        <f>AW293+AX293</f>
        <v>0</v>
      </c>
      <c r="AW293" s="32">
        <f>G293*AO293</f>
        <v>0</v>
      </c>
      <c r="AX293" s="32">
        <f>G293*AP293</f>
        <v>0</v>
      </c>
      <c r="AY293" s="33" t="s">
        <v>870</v>
      </c>
      <c r="AZ293" s="33" t="s">
        <v>888</v>
      </c>
      <c r="BA293" s="28" t="s">
        <v>891</v>
      </c>
      <c r="BC293" s="32">
        <f>AW293+AX293</f>
        <v>0</v>
      </c>
      <c r="BD293" s="32">
        <f>H293/(100-BE293)*100</f>
        <v>0</v>
      </c>
      <c r="BE293" s="32">
        <v>0</v>
      </c>
      <c r="BF293" s="32">
        <f>293</f>
        <v>293</v>
      </c>
      <c r="BH293" s="15">
        <f>G293*AO293</f>
        <v>0</v>
      </c>
      <c r="BI293" s="15">
        <f>G293*AP293</f>
        <v>0</v>
      </c>
      <c r="BJ293" s="15">
        <f>G293*H293</f>
        <v>0</v>
      </c>
    </row>
    <row r="294" spans="1:62" x14ac:dyDescent="0.2">
      <c r="C294" s="57" t="s">
        <v>584</v>
      </c>
      <c r="D294" s="58"/>
      <c r="E294" s="58"/>
      <c r="G294" s="16">
        <v>22</v>
      </c>
    </row>
    <row r="295" spans="1:62" x14ac:dyDescent="0.2">
      <c r="A295" s="4" t="s">
        <v>84</v>
      </c>
      <c r="B295" s="4" t="s">
        <v>244</v>
      </c>
      <c r="C295" s="59" t="s">
        <v>585</v>
      </c>
      <c r="D295" s="60"/>
      <c r="E295" s="60"/>
      <c r="F295" s="4" t="s">
        <v>821</v>
      </c>
      <c r="G295" s="15">
        <v>0.83511999999999997</v>
      </c>
      <c r="H295" s="15">
        <v>0</v>
      </c>
      <c r="I295" s="15">
        <f>G295*AO295</f>
        <v>0</v>
      </c>
      <c r="J295" s="15">
        <f>G295*AP295</f>
        <v>0</v>
      </c>
      <c r="K295" s="15">
        <f>G295*H295</f>
        <v>0</v>
      </c>
      <c r="L295" s="27" t="s">
        <v>839</v>
      </c>
      <c r="Z295" s="32">
        <f>IF(AQ295="5",BJ295,0)</f>
        <v>0</v>
      </c>
      <c r="AB295" s="32">
        <f>IF(AQ295="1",BH295,0)</f>
        <v>0</v>
      </c>
      <c r="AC295" s="32">
        <f>IF(AQ295="1",BI295,0)</f>
        <v>0</v>
      </c>
      <c r="AD295" s="32">
        <f>IF(AQ295="7",BH295,0)</f>
        <v>0</v>
      </c>
      <c r="AE295" s="32">
        <f>IF(AQ295="7",BI295,0)</f>
        <v>0</v>
      </c>
      <c r="AF295" s="32">
        <f>IF(AQ295="2",BH295,0)</f>
        <v>0</v>
      </c>
      <c r="AG295" s="32">
        <f>IF(AQ295="2",BI295,0)</f>
        <v>0</v>
      </c>
      <c r="AH295" s="32">
        <f>IF(AQ295="0",BJ295,0)</f>
        <v>0</v>
      </c>
      <c r="AI295" s="28"/>
      <c r="AJ295" s="15">
        <f>IF(AN295=0,K295,0)</f>
        <v>0</v>
      </c>
      <c r="AK295" s="15">
        <f>IF(AN295=15,K295,0)</f>
        <v>0</v>
      </c>
      <c r="AL295" s="15">
        <f>IF(AN295=21,K295,0)</f>
        <v>0</v>
      </c>
      <c r="AN295" s="32">
        <v>21</v>
      </c>
      <c r="AO295" s="32">
        <f>H295*0</f>
        <v>0</v>
      </c>
      <c r="AP295" s="32">
        <f>H295*(1-0)</f>
        <v>0</v>
      </c>
      <c r="AQ295" s="27" t="s">
        <v>11</v>
      </c>
      <c r="AV295" s="32">
        <f>AW295+AX295</f>
        <v>0</v>
      </c>
      <c r="AW295" s="32">
        <f>G295*AO295</f>
        <v>0</v>
      </c>
      <c r="AX295" s="32">
        <f>G295*AP295</f>
        <v>0</v>
      </c>
      <c r="AY295" s="33" t="s">
        <v>870</v>
      </c>
      <c r="AZ295" s="33" t="s">
        <v>888</v>
      </c>
      <c r="BA295" s="28" t="s">
        <v>891</v>
      </c>
      <c r="BC295" s="32">
        <f>AW295+AX295</f>
        <v>0</v>
      </c>
      <c r="BD295" s="32">
        <f>H295/(100-BE295)*100</f>
        <v>0</v>
      </c>
      <c r="BE295" s="32">
        <v>0</v>
      </c>
      <c r="BF295" s="32">
        <f>295</f>
        <v>295</v>
      </c>
      <c r="BH295" s="15">
        <f>G295*AO295</f>
        <v>0</v>
      </c>
      <c r="BI295" s="15">
        <f>G295*AP295</f>
        <v>0</v>
      </c>
      <c r="BJ295" s="15">
        <f>G295*H295</f>
        <v>0</v>
      </c>
    </row>
    <row r="296" spans="1:62" x14ac:dyDescent="0.2">
      <c r="C296" s="57" t="s">
        <v>586</v>
      </c>
      <c r="D296" s="58"/>
      <c r="E296" s="58"/>
      <c r="G296" s="16">
        <v>0.83511999999999997</v>
      </c>
    </row>
    <row r="297" spans="1:62" x14ac:dyDescent="0.2">
      <c r="A297" s="5"/>
      <c r="B297" s="13" t="s">
        <v>245</v>
      </c>
      <c r="C297" s="65" t="s">
        <v>587</v>
      </c>
      <c r="D297" s="66"/>
      <c r="E297" s="66"/>
      <c r="F297" s="5" t="s">
        <v>6</v>
      </c>
      <c r="G297" s="5" t="s">
        <v>6</v>
      </c>
      <c r="H297" s="5" t="s">
        <v>6</v>
      </c>
      <c r="I297" s="35">
        <f>SUM(I298:I298)</f>
        <v>0</v>
      </c>
      <c r="J297" s="35">
        <f>SUM(J298:J298)</f>
        <v>0</v>
      </c>
      <c r="K297" s="35">
        <f>SUM(K298:K298)</f>
        <v>0</v>
      </c>
      <c r="L297" s="28"/>
      <c r="AI297" s="28"/>
      <c r="AS297" s="35">
        <f>SUM(AJ298:AJ298)</f>
        <v>0</v>
      </c>
      <c r="AT297" s="35">
        <f>SUM(AK298:AK298)</f>
        <v>0</v>
      </c>
      <c r="AU297" s="35">
        <f>SUM(AL298:AL298)</f>
        <v>0</v>
      </c>
    </row>
    <row r="298" spans="1:62" x14ac:dyDescent="0.2">
      <c r="A298" s="4" t="s">
        <v>85</v>
      </c>
      <c r="B298" s="4" t="s">
        <v>246</v>
      </c>
      <c r="C298" s="59" t="s">
        <v>588</v>
      </c>
      <c r="D298" s="60"/>
      <c r="E298" s="60"/>
      <c r="F298" s="4" t="s">
        <v>817</v>
      </c>
      <c r="G298" s="15">
        <v>1101</v>
      </c>
      <c r="H298" s="15">
        <v>0</v>
      </c>
      <c r="I298" s="15">
        <f>G298*AO298</f>
        <v>0</v>
      </c>
      <c r="J298" s="15">
        <f>G298*AP298</f>
        <v>0</v>
      </c>
      <c r="K298" s="15">
        <f>G298*H298</f>
        <v>0</v>
      </c>
      <c r="L298" s="27" t="s">
        <v>839</v>
      </c>
      <c r="Z298" s="32">
        <f>IF(AQ298="5",BJ298,0)</f>
        <v>0</v>
      </c>
      <c r="AB298" s="32">
        <f>IF(AQ298="1",BH298,0)</f>
        <v>0</v>
      </c>
      <c r="AC298" s="32">
        <f>IF(AQ298="1",BI298,0)</f>
        <v>0</v>
      </c>
      <c r="AD298" s="32">
        <f>IF(AQ298="7",BH298,0)</f>
        <v>0</v>
      </c>
      <c r="AE298" s="32">
        <f>IF(AQ298="7",BI298,0)</f>
        <v>0</v>
      </c>
      <c r="AF298" s="32">
        <f>IF(AQ298="2",BH298,0)</f>
        <v>0</v>
      </c>
      <c r="AG298" s="32">
        <f>IF(AQ298="2",BI298,0)</f>
        <v>0</v>
      </c>
      <c r="AH298" s="32">
        <f>IF(AQ298="0",BJ298,0)</f>
        <v>0</v>
      </c>
      <c r="AI298" s="28"/>
      <c r="AJ298" s="15">
        <f>IF(AN298=0,K298,0)</f>
        <v>0</v>
      </c>
      <c r="AK298" s="15">
        <f>IF(AN298=15,K298,0)</f>
        <v>0</v>
      </c>
      <c r="AL298" s="15">
        <f>IF(AN298=21,K298,0)</f>
        <v>0</v>
      </c>
      <c r="AN298" s="32">
        <v>21</v>
      </c>
      <c r="AO298" s="32">
        <f>H298*0</f>
        <v>0</v>
      </c>
      <c r="AP298" s="32">
        <f>H298*(1-0)</f>
        <v>0</v>
      </c>
      <c r="AQ298" s="27" t="s">
        <v>13</v>
      </c>
      <c r="AV298" s="32">
        <f>AW298+AX298</f>
        <v>0</v>
      </c>
      <c r="AW298" s="32">
        <f>G298*AO298</f>
        <v>0</v>
      </c>
      <c r="AX298" s="32">
        <f>G298*AP298</f>
        <v>0</v>
      </c>
      <c r="AY298" s="33" t="s">
        <v>871</v>
      </c>
      <c r="AZ298" s="33" t="s">
        <v>888</v>
      </c>
      <c r="BA298" s="28" t="s">
        <v>891</v>
      </c>
      <c r="BC298" s="32">
        <f>AW298+AX298</f>
        <v>0</v>
      </c>
      <c r="BD298" s="32">
        <f>H298/(100-BE298)*100</f>
        <v>0</v>
      </c>
      <c r="BE298" s="32">
        <v>0</v>
      </c>
      <c r="BF298" s="32">
        <f>298</f>
        <v>298</v>
      </c>
      <c r="BH298" s="15">
        <f>G298*AO298</f>
        <v>0</v>
      </c>
      <c r="BI298" s="15">
        <f>G298*AP298</f>
        <v>0</v>
      </c>
      <c r="BJ298" s="15">
        <f>G298*H298</f>
        <v>0</v>
      </c>
    </row>
    <row r="299" spans="1:62" x14ac:dyDescent="0.2">
      <c r="C299" s="57" t="s">
        <v>496</v>
      </c>
      <c r="D299" s="58"/>
      <c r="E299" s="58"/>
      <c r="G299" s="16">
        <v>1101</v>
      </c>
    </row>
    <row r="300" spans="1:62" x14ac:dyDescent="0.2">
      <c r="A300" s="5"/>
      <c r="B300" s="13" t="s">
        <v>247</v>
      </c>
      <c r="C300" s="65" t="s">
        <v>589</v>
      </c>
      <c r="D300" s="66"/>
      <c r="E300" s="66"/>
      <c r="F300" s="5" t="s">
        <v>6</v>
      </c>
      <c r="G300" s="5" t="s">
        <v>6</v>
      </c>
      <c r="H300" s="5" t="s">
        <v>6</v>
      </c>
      <c r="I300" s="35">
        <f>SUM(I301:I352)</f>
        <v>0</v>
      </c>
      <c r="J300" s="35">
        <f>SUM(J301:J352)</f>
        <v>0</v>
      </c>
      <c r="K300" s="35">
        <f>SUM(K301:K352)</f>
        <v>0</v>
      </c>
      <c r="L300" s="28"/>
      <c r="AI300" s="28"/>
      <c r="AS300" s="35">
        <f>SUM(AJ301:AJ352)</f>
        <v>0</v>
      </c>
      <c r="AT300" s="35">
        <f>SUM(AK301:AK352)</f>
        <v>0</v>
      </c>
      <c r="AU300" s="35">
        <f>SUM(AL301:AL352)</f>
        <v>0</v>
      </c>
    </row>
    <row r="301" spans="1:62" x14ac:dyDescent="0.2">
      <c r="A301" s="4" t="s">
        <v>86</v>
      </c>
      <c r="B301" s="4" t="s">
        <v>248</v>
      </c>
      <c r="C301" s="59" t="s">
        <v>590</v>
      </c>
      <c r="D301" s="60"/>
      <c r="E301" s="60"/>
      <c r="F301" s="4" t="s">
        <v>817</v>
      </c>
      <c r="G301" s="15">
        <v>409.68599999999998</v>
      </c>
      <c r="H301" s="15">
        <v>0</v>
      </c>
      <c r="I301" s="15">
        <f>G301*AO301</f>
        <v>0</v>
      </c>
      <c r="J301" s="15">
        <f>G301*AP301</f>
        <v>0</v>
      </c>
      <c r="K301" s="15">
        <f>G301*H301</f>
        <v>0</v>
      </c>
      <c r="L301" s="27" t="s">
        <v>839</v>
      </c>
      <c r="Z301" s="32">
        <f>IF(AQ301="5",BJ301,0)</f>
        <v>0</v>
      </c>
      <c r="AB301" s="32">
        <f>IF(AQ301="1",BH301,0)</f>
        <v>0</v>
      </c>
      <c r="AC301" s="32">
        <f>IF(AQ301="1",BI301,0)</f>
        <v>0</v>
      </c>
      <c r="AD301" s="32">
        <f>IF(AQ301="7",BH301,0)</f>
        <v>0</v>
      </c>
      <c r="AE301" s="32">
        <f>IF(AQ301="7",BI301,0)</f>
        <v>0</v>
      </c>
      <c r="AF301" s="32">
        <f>IF(AQ301="2",BH301,0)</f>
        <v>0</v>
      </c>
      <c r="AG301" s="32">
        <f>IF(AQ301="2",BI301,0)</f>
        <v>0</v>
      </c>
      <c r="AH301" s="32">
        <f>IF(AQ301="0",BJ301,0)</f>
        <v>0</v>
      </c>
      <c r="AI301" s="28"/>
      <c r="AJ301" s="15">
        <f>IF(AN301=0,K301,0)</f>
        <v>0</v>
      </c>
      <c r="AK301" s="15">
        <f>IF(AN301=15,K301,0)</f>
        <v>0</v>
      </c>
      <c r="AL301" s="15">
        <f>IF(AN301=21,K301,0)</f>
        <v>0</v>
      </c>
      <c r="AN301" s="32">
        <v>21</v>
      </c>
      <c r="AO301" s="32">
        <f>H301*0.0282533333333333</f>
        <v>0</v>
      </c>
      <c r="AP301" s="32">
        <f>H301*(1-0.0282533333333333)</f>
        <v>0</v>
      </c>
      <c r="AQ301" s="27" t="s">
        <v>13</v>
      </c>
      <c r="AV301" s="32">
        <f>AW301+AX301</f>
        <v>0</v>
      </c>
      <c r="AW301" s="32">
        <f>G301*AO301</f>
        <v>0</v>
      </c>
      <c r="AX301" s="32">
        <f>G301*AP301</f>
        <v>0</v>
      </c>
      <c r="AY301" s="33" t="s">
        <v>872</v>
      </c>
      <c r="AZ301" s="33" t="s">
        <v>888</v>
      </c>
      <c r="BA301" s="28" t="s">
        <v>891</v>
      </c>
      <c r="BC301" s="32">
        <f>AW301+AX301</f>
        <v>0</v>
      </c>
      <c r="BD301" s="32">
        <f>H301/(100-BE301)*100</f>
        <v>0</v>
      </c>
      <c r="BE301" s="32">
        <v>0</v>
      </c>
      <c r="BF301" s="32">
        <f>301</f>
        <v>301</v>
      </c>
      <c r="BH301" s="15">
        <f>G301*AO301</f>
        <v>0</v>
      </c>
      <c r="BI301" s="15">
        <f>G301*AP301</f>
        <v>0</v>
      </c>
      <c r="BJ301" s="15">
        <f>G301*H301</f>
        <v>0</v>
      </c>
    </row>
    <row r="302" spans="1:62" x14ac:dyDescent="0.2">
      <c r="C302" s="57" t="s">
        <v>591</v>
      </c>
      <c r="D302" s="58"/>
      <c r="E302" s="58"/>
      <c r="G302" s="16">
        <v>0.72</v>
      </c>
    </row>
    <row r="303" spans="1:62" x14ac:dyDescent="0.2">
      <c r="C303" s="57" t="s">
        <v>592</v>
      </c>
      <c r="D303" s="58"/>
      <c r="E303" s="58"/>
      <c r="G303" s="16">
        <v>0.36</v>
      </c>
    </row>
    <row r="304" spans="1:62" x14ac:dyDescent="0.2">
      <c r="C304" s="57" t="s">
        <v>593</v>
      </c>
      <c r="D304" s="58"/>
      <c r="E304" s="58"/>
      <c r="G304" s="16">
        <v>35.28</v>
      </c>
    </row>
    <row r="305" spans="1:62" x14ac:dyDescent="0.2">
      <c r="C305" s="57" t="s">
        <v>594</v>
      </c>
      <c r="D305" s="58"/>
      <c r="E305" s="58"/>
      <c r="G305" s="16">
        <v>6.3</v>
      </c>
    </row>
    <row r="306" spans="1:62" x14ac:dyDescent="0.2">
      <c r="C306" s="57" t="s">
        <v>595</v>
      </c>
      <c r="D306" s="58"/>
      <c r="E306" s="58"/>
      <c r="G306" s="16">
        <v>79.38</v>
      </c>
    </row>
    <row r="307" spans="1:62" x14ac:dyDescent="0.2">
      <c r="C307" s="57" t="s">
        <v>596</v>
      </c>
      <c r="D307" s="58"/>
      <c r="E307" s="58"/>
      <c r="G307" s="16">
        <v>2.88</v>
      </c>
    </row>
    <row r="308" spans="1:62" x14ac:dyDescent="0.2">
      <c r="C308" s="57" t="s">
        <v>597</v>
      </c>
      <c r="D308" s="58"/>
      <c r="E308" s="58"/>
      <c r="G308" s="16">
        <v>10.08</v>
      </c>
    </row>
    <row r="309" spans="1:62" x14ac:dyDescent="0.2">
      <c r="C309" s="57" t="s">
        <v>598</v>
      </c>
      <c r="D309" s="58"/>
      <c r="E309" s="58"/>
      <c r="G309" s="16">
        <v>24.48</v>
      </c>
    </row>
    <row r="310" spans="1:62" x14ac:dyDescent="0.2">
      <c r="C310" s="57" t="s">
        <v>599</v>
      </c>
      <c r="D310" s="58"/>
      <c r="E310" s="58"/>
      <c r="G310" s="16">
        <v>167.04</v>
      </c>
    </row>
    <row r="311" spans="1:62" x14ac:dyDescent="0.2">
      <c r="C311" s="57" t="s">
        <v>600</v>
      </c>
      <c r="D311" s="58"/>
      <c r="E311" s="58"/>
      <c r="G311" s="16">
        <v>68.400000000000006</v>
      </c>
    </row>
    <row r="312" spans="1:62" x14ac:dyDescent="0.2">
      <c r="C312" s="57" t="s">
        <v>601</v>
      </c>
      <c r="D312" s="58"/>
      <c r="E312" s="58"/>
      <c r="G312" s="16">
        <v>1.7729999999999999</v>
      </c>
    </row>
    <row r="313" spans="1:62" x14ac:dyDescent="0.2">
      <c r="C313" s="57" t="s">
        <v>602</v>
      </c>
      <c r="D313" s="58"/>
      <c r="E313" s="58"/>
      <c r="G313" s="16">
        <v>1.7729999999999999</v>
      </c>
    </row>
    <row r="314" spans="1:62" x14ac:dyDescent="0.2">
      <c r="C314" s="57" t="s">
        <v>603</v>
      </c>
      <c r="D314" s="58"/>
      <c r="E314" s="58"/>
      <c r="G314" s="16">
        <v>0.96</v>
      </c>
    </row>
    <row r="315" spans="1:62" x14ac:dyDescent="0.2">
      <c r="C315" s="57" t="s">
        <v>604</v>
      </c>
      <c r="D315" s="58"/>
      <c r="E315" s="58"/>
      <c r="G315" s="16">
        <v>2.25</v>
      </c>
    </row>
    <row r="316" spans="1:62" x14ac:dyDescent="0.2">
      <c r="C316" s="57" t="s">
        <v>605</v>
      </c>
      <c r="D316" s="58"/>
      <c r="E316" s="58"/>
      <c r="G316" s="16">
        <v>4.5</v>
      </c>
    </row>
    <row r="317" spans="1:62" x14ac:dyDescent="0.2">
      <c r="C317" s="57" t="s">
        <v>606</v>
      </c>
      <c r="D317" s="58"/>
      <c r="E317" s="58"/>
      <c r="G317" s="16">
        <v>1.35</v>
      </c>
    </row>
    <row r="318" spans="1:62" x14ac:dyDescent="0.2">
      <c r="C318" s="57" t="s">
        <v>607</v>
      </c>
      <c r="D318" s="58"/>
      <c r="E318" s="58"/>
      <c r="G318" s="16">
        <v>2.16</v>
      </c>
    </row>
    <row r="319" spans="1:62" x14ac:dyDescent="0.2">
      <c r="A319" s="6" t="s">
        <v>87</v>
      </c>
      <c r="B319" s="6" t="s">
        <v>249</v>
      </c>
      <c r="C319" s="67" t="s">
        <v>608</v>
      </c>
      <c r="D319" s="68"/>
      <c r="E319" s="68"/>
      <c r="F319" s="6" t="s">
        <v>820</v>
      </c>
      <c r="G319" s="17">
        <v>1</v>
      </c>
      <c r="H319" s="17">
        <v>0</v>
      </c>
      <c r="I319" s="17">
        <f>G319*AO319</f>
        <v>0</v>
      </c>
      <c r="J319" s="17">
        <f>G319*AP319</f>
        <v>0</v>
      </c>
      <c r="K319" s="17">
        <f>G319*H319</f>
        <v>0</v>
      </c>
      <c r="L319" s="29"/>
      <c r="Z319" s="32">
        <f>IF(AQ319="5",BJ319,0)</f>
        <v>0</v>
      </c>
      <c r="AB319" s="32">
        <f>IF(AQ319="1",BH319,0)</f>
        <v>0</v>
      </c>
      <c r="AC319" s="32">
        <f>IF(AQ319="1",BI319,0)</f>
        <v>0</v>
      </c>
      <c r="AD319" s="32">
        <f>IF(AQ319="7",BH319,0)</f>
        <v>0</v>
      </c>
      <c r="AE319" s="32">
        <f>IF(AQ319="7",BI319,0)</f>
        <v>0</v>
      </c>
      <c r="AF319" s="32">
        <f>IF(AQ319="2",BH319,0)</f>
        <v>0</v>
      </c>
      <c r="AG319" s="32">
        <f>IF(AQ319="2",BI319,0)</f>
        <v>0</v>
      </c>
      <c r="AH319" s="32">
        <f>IF(AQ319="0",BJ319,0)</f>
        <v>0</v>
      </c>
      <c r="AI319" s="28"/>
      <c r="AJ319" s="17">
        <f>IF(AN319=0,K319,0)</f>
        <v>0</v>
      </c>
      <c r="AK319" s="17">
        <f>IF(AN319=15,K319,0)</f>
        <v>0</v>
      </c>
      <c r="AL319" s="17">
        <f>IF(AN319=21,K319,0)</f>
        <v>0</v>
      </c>
      <c r="AN319" s="32">
        <v>21</v>
      </c>
      <c r="AO319" s="32">
        <f>H319*1</f>
        <v>0</v>
      </c>
      <c r="AP319" s="32">
        <f>H319*(1-1)</f>
        <v>0</v>
      </c>
      <c r="AQ319" s="29" t="s">
        <v>13</v>
      </c>
      <c r="AV319" s="32">
        <f>AW319+AX319</f>
        <v>0</v>
      </c>
      <c r="AW319" s="32">
        <f>G319*AO319</f>
        <v>0</v>
      </c>
      <c r="AX319" s="32">
        <f>G319*AP319</f>
        <v>0</v>
      </c>
      <c r="AY319" s="33" t="s">
        <v>872</v>
      </c>
      <c r="AZ319" s="33" t="s">
        <v>888</v>
      </c>
      <c r="BA319" s="28" t="s">
        <v>891</v>
      </c>
      <c r="BC319" s="32">
        <f>AW319+AX319</f>
        <v>0</v>
      </c>
      <c r="BD319" s="32">
        <f>H319/(100-BE319)*100</f>
        <v>0</v>
      </c>
      <c r="BE319" s="32">
        <v>0</v>
      </c>
      <c r="BF319" s="32">
        <f>319</f>
        <v>319</v>
      </c>
      <c r="BH319" s="17">
        <f>G319*AO319</f>
        <v>0</v>
      </c>
      <c r="BI319" s="17">
        <f>G319*AP319</f>
        <v>0</v>
      </c>
      <c r="BJ319" s="17">
        <f>G319*H319</f>
        <v>0</v>
      </c>
    </row>
    <row r="320" spans="1:62" x14ac:dyDescent="0.2">
      <c r="C320" s="57" t="s">
        <v>609</v>
      </c>
      <c r="D320" s="58"/>
      <c r="E320" s="58"/>
      <c r="G320" s="16">
        <v>1</v>
      </c>
    </row>
    <row r="321" spans="1:62" x14ac:dyDescent="0.2">
      <c r="A321" s="6" t="s">
        <v>88</v>
      </c>
      <c r="B321" s="6" t="s">
        <v>250</v>
      </c>
      <c r="C321" s="67" t="s">
        <v>610</v>
      </c>
      <c r="D321" s="68"/>
      <c r="E321" s="68"/>
      <c r="F321" s="6" t="s">
        <v>820</v>
      </c>
      <c r="G321" s="17">
        <v>1</v>
      </c>
      <c r="H321" s="17">
        <v>0</v>
      </c>
      <c r="I321" s="17">
        <f>G321*AO321</f>
        <v>0</v>
      </c>
      <c r="J321" s="17">
        <f>G321*AP321</f>
        <v>0</v>
      </c>
      <c r="K321" s="17">
        <f>G321*H321</f>
        <v>0</v>
      </c>
      <c r="L321" s="29"/>
      <c r="Z321" s="32">
        <f>IF(AQ321="5",BJ321,0)</f>
        <v>0</v>
      </c>
      <c r="AB321" s="32">
        <f>IF(AQ321="1",BH321,0)</f>
        <v>0</v>
      </c>
      <c r="AC321" s="32">
        <f>IF(AQ321="1",BI321,0)</f>
        <v>0</v>
      </c>
      <c r="AD321" s="32">
        <f>IF(AQ321="7",BH321,0)</f>
        <v>0</v>
      </c>
      <c r="AE321" s="32">
        <f>IF(AQ321="7",BI321,0)</f>
        <v>0</v>
      </c>
      <c r="AF321" s="32">
        <f>IF(AQ321="2",BH321,0)</f>
        <v>0</v>
      </c>
      <c r="AG321" s="32">
        <f>IF(AQ321="2",BI321,0)</f>
        <v>0</v>
      </c>
      <c r="AH321" s="32">
        <f>IF(AQ321="0",BJ321,0)</f>
        <v>0</v>
      </c>
      <c r="AI321" s="28"/>
      <c r="AJ321" s="17">
        <f>IF(AN321=0,K321,0)</f>
        <v>0</v>
      </c>
      <c r="AK321" s="17">
        <f>IF(AN321=15,K321,0)</f>
        <v>0</v>
      </c>
      <c r="AL321" s="17">
        <f>IF(AN321=21,K321,0)</f>
        <v>0</v>
      </c>
      <c r="AN321" s="32">
        <v>21</v>
      </c>
      <c r="AO321" s="32">
        <f>H321*1</f>
        <v>0</v>
      </c>
      <c r="AP321" s="32">
        <f>H321*(1-1)</f>
        <v>0</v>
      </c>
      <c r="AQ321" s="29" t="s">
        <v>13</v>
      </c>
      <c r="AV321" s="32">
        <f>AW321+AX321</f>
        <v>0</v>
      </c>
      <c r="AW321" s="32">
        <f>G321*AO321</f>
        <v>0</v>
      </c>
      <c r="AX321" s="32">
        <f>G321*AP321</f>
        <v>0</v>
      </c>
      <c r="AY321" s="33" t="s">
        <v>872</v>
      </c>
      <c r="AZ321" s="33" t="s">
        <v>888</v>
      </c>
      <c r="BA321" s="28" t="s">
        <v>891</v>
      </c>
      <c r="BC321" s="32">
        <f>AW321+AX321</f>
        <v>0</v>
      </c>
      <c r="BD321" s="32">
        <f>H321/(100-BE321)*100</f>
        <v>0</v>
      </c>
      <c r="BE321" s="32">
        <v>0</v>
      </c>
      <c r="BF321" s="32">
        <f>321</f>
        <v>321</v>
      </c>
      <c r="BH321" s="17">
        <f>G321*AO321</f>
        <v>0</v>
      </c>
      <c r="BI321" s="17">
        <f>G321*AP321</f>
        <v>0</v>
      </c>
      <c r="BJ321" s="17">
        <f>G321*H321</f>
        <v>0</v>
      </c>
    </row>
    <row r="322" spans="1:62" x14ac:dyDescent="0.2">
      <c r="C322" s="57" t="s">
        <v>611</v>
      </c>
      <c r="D322" s="58"/>
      <c r="E322" s="58"/>
      <c r="G322" s="16">
        <v>1</v>
      </c>
    </row>
    <row r="323" spans="1:62" x14ac:dyDescent="0.2">
      <c r="A323" s="6" t="s">
        <v>89</v>
      </c>
      <c r="B323" s="6" t="s">
        <v>251</v>
      </c>
      <c r="C323" s="67" t="s">
        <v>612</v>
      </c>
      <c r="D323" s="68"/>
      <c r="E323" s="68"/>
      <c r="F323" s="6" t="s">
        <v>820</v>
      </c>
      <c r="G323" s="17">
        <v>7</v>
      </c>
      <c r="H323" s="17">
        <v>0</v>
      </c>
      <c r="I323" s="17">
        <f>G323*AO323</f>
        <v>0</v>
      </c>
      <c r="J323" s="17">
        <f>G323*AP323</f>
        <v>0</v>
      </c>
      <c r="K323" s="17">
        <f>G323*H323</f>
        <v>0</v>
      </c>
      <c r="L323" s="29"/>
      <c r="Z323" s="32">
        <f>IF(AQ323="5",BJ323,0)</f>
        <v>0</v>
      </c>
      <c r="AB323" s="32">
        <f>IF(AQ323="1",BH323,0)</f>
        <v>0</v>
      </c>
      <c r="AC323" s="32">
        <f>IF(AQ323="1",BI323,0)</f>
        <v>0</v>
      </c>
      <c r="AD323" s="32">
        <f>IF(AQ323="7",BH323,0)</f>
        <v>0</v>
      </c>
      <c r="AE323" s="32">
        <f>IF(AQ323="7",BI323,0)</f>
        <v>0</v>
      </c>
      <c r="AF323" s="32">
        <f>IF(AQ323="2",BH323,0)</f>
        <v>0</v>
      </c>
      <c r="AG323" s="32">
        <f>IF(AQ323="2",BI323,0)</f>
        <v>0</v>
      </c>
      <c r="AH323" s="32">
        <f>IF(AQ323="0",BJ323,0)</f>
        <v>0</v>
      </c>
      <c r="AI323" s="28"/>
      <c r="AJ323" s="17">
        <f>IF(AN323=0,K323,0)</f>
        <v>0</v>
      </c>
      <c r="AK323" s="17">
        <f>IF(AN323=15,K323,0)</f>
        <v>0</v>
      </c>
      <c r="AL323" s="17">
        <f>IF(AN323=21,K323,0)</f>
        <v>0</v>
      </c>
      <c r="AN323" s="32">
        <v>21</v>
      </c>
      <c r="AO323" s="32">
        <f>H323*1</f>
        <v>0</v>
      </c>
      <c r="AP323" s="32">
        <f>H323*(1-1)</f>
        <v>0</v>
      </c>
      <c r="AQ323" s="29" t="s">
        <v>13</v>
      </c>
      <c r="AV323" s="32">
        <f>AW323+AX323</f>
        <v>0</v>
      </c>
      <c r="AW323" s="32">
        <f>G323*AO323</f>
        <v>0</v>
      </c>
      <c r="AX323" s="32">
        <f>G323*AP323</f>
        <v>0</v>
      </c>
      <c r="AY323" s="33" t="s">
        <v>872</v>
      </c>
      <c r="AZ323" s="33" t="s">
        <v>888</v>
      </c>
      <c r="BA323" s="28" t="s">
        <v>891</v>
      </c>
      <c r="BC323" s="32">
        <f>AW323+AX323</f>
        <v>0</v>
      </c>
      <c r="BD323" s="32">
        <f>H323/(100-BE323)*100</f>
        <v>0</v>
      </c>
      <c r="BE323" s="32">
        <v>0</v>
      </c>
      <c r="BF323" s="32">
        <f>323</f>
        <v>323</v>
      </c>
      <c r="BH323" s="17">
        <f>G323*AO323</f>
        <v>0</v>
      </c>
      <c r="BI323" s="17">
        <f>G323*AP323</f>
        <v>0</v>
      </c>
      <c r="BJ323" s="17">
        <f>G323*H323</f>
        <v>0</v>
      </c>
    </row>
    <row r="324" spans="1:62" x14ac:dyDescent="0.2">
      <c r="C324" s="57" t="s">
        <v>613</v>
      </c>
      <c r="D324" s="58"/>
      <c r="E324" s="58"/>
      <c r="G324" s="16">
        <v>7</v>
      </c>
    </row>
    <row r="325" spans="1:62" x14ac:dyDescent="0.2">
      <c r="A325" s="6" t="s">
        <v>90</v>
      </c>
      <c r="B325" s="6" t="s">
        <v>252</v>
      </c>
      <c r="C325" s="67" t="s">
        <v>614</v>
      </c>
      <c r="D325" s="68"/>
      <c r="E325" s="68"/>
      <c r="F325" s="6" t="s">
        <v>820</v>
      </c>
      <c r="G325" s="17">
        <v>2</v>
      </c>
      <c r="H325" s="17">
        <v>0</v>
      </c>
      <c r="I325" s="17">
        <f>G325*AO325</f>
        <v>0</v>
      </c>
      <c r="J325" s="17">
        <f>G325*AP325</f>
        <v>0</v>
      </c>
      <c r="K325" s="17">
        <f>G325*H325</f>
        <v>0</v>
      </c>
      <c r="L325" s="29"/>
      <c r="Z325" s="32">
        <f>IF(AQ325="5",BJ325,0)</f>
        <v>0</v>
      </c>
      <c r="AB325" s="32">
        <f>IF(AQ325="1",BH325,0)</f>
        <v>0</v>
      </c>
      <c r="AC325" s="32">
        <f>IF(AQ325="1",BI325,0)</f>
        <v>0</v>
      </c>
      <c r="AD325" s="32">
        <f>IF(AQ325="7",BH325,0)</f>
        <v>0</v>
      </c>
      <c r="AE325" s="32">
        <f>IF(AQ325="7",BI325,0)</f>
        <v>0</v>
      </c>
      <c r="AF325" s="32">
        <f>IF(AQ325="2",BH325,0)</f>
        <v>0</v>
      </c>
      <c r="AG325" s="32">
        <f>IF(AQ325="2",BI325,0)</f>
        <v>0</v>
      </c>
      <c r="AH325" s="32">
        <f>IF(AQ325="0",BJ325,0)</f>
        <v>0</v>
      </c>
      <c r="AI325" s="28"/>
      <c r="AJ325" s="17">
        <f>IF(AN325=0,K325,0)</f>
        <v>0</v>
      </c>
      <c r="AK325" s="17">
        <f>IF(AN325=15,K325,0)</f>
        <v>0</v>
      </c>
      <c r="AL325" s="17">
        <f>IF(AN325=21,K325,0)</f>
        <v>0</v>
      </c>
      <c r="AN325" s="32">
        <v>21</v>
      </c>
      <c r="AO325" s="32">
        <f>H325*1</f>
        <v>0</v>
      </c>
      <c r="AP325" s="32">
        <f>H325*(1-1)</f>
        <v>0</v>
      </c>
      <c r="AQ325" s="29" t="s">
        <v>13</v>
      </c>
      <c r="AV325" s="32">
        <f>AW325+AX325</f>
        <v>0</v>
      </c>
      <c r="AW325" s="32">
        <f>G325*AO325</f>
        <v>0</v>
      </c>
      <c r="AX325" s="32">
        <f>G325*AP325</f>
        <v>0</v>
      </c>
      <c r="AY325" s="33" t="s">
        <v>872</v>
      </c>
      <c r="AZ325" s="33" t="s">
        <v>888</v>
      </c>
      <c r="BA325" s="28" t="s">
        <v>891</v>
      </c>
      <c r="BC325" s="32">
        <f>AW325+AX325</f>
        <v>0</v>
      </c>
      <c r="BD325" s="32">
        <f>H325/(100-BE325)*100</f>
        <v>0</v>
      </c>
      <c r="BE325" s="32">
        <v>0</v>
      </c>
      <c r="BF325" s="32">
        <f>325</f>
        <v>325</v>
      </c>
      <c r="BH325" s="17">
        <f>G325*AO325</f>
        <v>0</v>
      </c>
      <c r="BI325" s="17">
        <f>G325*AP325</f>
        <v>0</v>
      </c>
      <c r="BJ325" s="17">
        <f>G325*H325</f>
        <v>0</v>
      </c>
    </row>
    <row r="326" spans="1:62" x14ac:dyDescent="0.2">
      <c r="C326" s="57" t="s">
        <v>615</v>
      </c>
      <c r="D326" s="58"/>
      <c r="E326" s="58"/>
      <c r="G326" s="16">
        <v>2</v>
      </c>
    </row>
    <row r="327" spans="1:62" x14ac:dyDescent="0.2">
      <c r="A327" s="6" t="s">
        <v>91</v>
      </c>
      <c r="B327" s="6" t="s">
        <v>253</v>
      </c>
      <c r="C327" s="67" t="s">
        <v>616</v>
      </c>
      <c r="D327" s="68"/>
      <c r="E327" s="68"/>
      <c r="F327" s="6" t="s">
        <v>820</v>
      </c>
      <c r="G327" s="17">
        <v>7</v>
      </c>
      <c r="H327" s="17">
        <v>0</v>
      </c>
      <c r="I327" s="17">
        <f>G327*AO327</f>
        <v>0</v>
      </c>
      <c r="J327" s="17">
        <f>G327*AP327</f>
        <v>0</v>
      </c>
      <c r="K327" s="17">
        <f>G327*H327</f>
        <v>0</v>
      </c>
      <c r="L327" s="29"/>
      <c r="Z327" s="32">
        <f>IF(AQ327="5",BJ327,0)</f>
        <v>0</v>
      </c>
      <c r="AB327" s="32">
        <f>IF(AQ327="1",BH327,0)</f>
        <v>0</v>
      </c>
      <c r="AC327" s="32">
        <f>IF(AQ327="1",BI327,0)</f>
        <v>0</v>
      </c>
      <c r="AD327" s="32">
        <f>IF(AQ327="7",BH327,0)</f>
        <v>0</v>
      </c>
      <c r="AE327" s="32">
        <f>IF(AQ327="7",BI327,0)</f>
        <v>0</v>
      </c>
      <c r="AF327" s="32">
        <f>IF(AQ327="2",BH327,0)</f>
        <v>0</v>
      </c>
      <c r="AG327" s="32">
        <f>IF(AQ327="2",BI327,0)</f>
        <v>0</v>
      </c>
      <c r="AH327" s="32">
        <f>IF(AQ327="0",BJ327,0)</f>
        <v>0</v>
      </c>
      <c r="AI327" s="28"/>
      <c r="AJ327" s="17">
        <f>IF(AN327=0,K327,0)</f>
        <v>0</v>
      </c>
      <c r="AK327" s="17">
        <f>IF(AN327=15,K327,0)</f>
        <v>0</v>
      </c>
      <c r="AL327" s="17">
        <f>IF(AN327=21,K327,0)</f>
        <v>0</v>
      </c>
      <c r="AN327" s="32">
        <v>21</v>
      </c>
      <c r="AO327" s="32">
        <f>H327*1</f>
        <v>0</v>
      </c>
      <c r="AP327" s="32">
        <f>H327*(1-1)</f>
        <v>0</v>
      </c>
      <c r="AQ327" s="29" t="s">
        <v>13</v>
      </c>
      <c r="AV327" s="32">
        <f>AW327+AX327</f>
        <v>0</v>
      </c>
      <c r="AW327" s="32">
        <f>G327*AO327</f>
        <v>0</v>
      </c>
      <c r="AX327" s="32">
        <f>G327*AP327</f>
        <v>0</v>
      </c>
      <c r="AY327" s="33" t="s">
        <v>872</v>
      </c>
      <c r="AZ327" s="33" t="s">
        <v>888</v>
      </c>
      <c r="BA327" s="28" t="s">
        <v>891</v>
      </c>
      <c r="BC327" s="32">
        <f>AW327+AX327</f>
        <v>0</v>
      </c>
      <c r="BD327" s="32">
        <f>H327/(100-BE327)*100</f>
        <v>0</v>
      </c>
      <c r="BE327" s="32">
        <v>0</v>
      </c>
      <c r="BF327" s="32">
        <f>327</f>
        <v>327</v>
      </c>
      <c r="BH327" s="17">
        <f>G327*AO327</f>
        <v>0</v>
      </c>
      <c r="BI327" s="17">
        <f>G327*AP327</f>
        <v>0</v>
      </c>
      <c r="BJ327" s="17">
        <f>G327*H327</f>
        <v>0</v>
      </c>
    </row>
    <row r="328" spans="1:62" x14ac:dyDescent="0.2">
      <c r="C328" s="57" t="s">
        <v>617</v>
      </c>
      <c r="D328" s="58"/>
      <c r="E328" s="58"/>
      <c r="G328" s="16">
        <v>7</v>
      </c>
    </row>
    <row r="329" spans="1:62" x14ac:dyDescent="0.2">
      <c r="A329" s="6" t="s">
        <v>92</v>
      </c>
      <c r="B329" s="6" t="s">
        <v>254</v>
      </c>
      <c r="C329" s="67" t="s">
        <v>618</v>
      </c>
      <c r="D329" s="68"/>
      <c r="E329" s="68"/>
      <c r="F329" s="6" t="s">
        <v>820</v>
      </c>
      <c r="G329" s="17">
        <v>1</v>
      </c>
      <c r="H329" s="17">
        <v>0</v>
      </c>
      <c r="I329" s="17">
        <f>G329*AO329</f>
        <v>0</v>
      </c>
      <c r="J329" s="17">
        <f>G329*AP329</f>
        <v>0</v>
      </c>
      <c r="K329" s="17">
        <f>G329*H329</f>
        <v>0</v>
      </c>
      <c r="L329" s="29"/>
      <c r="Z329" s="32">
        <f>IF(AQ329="5",BJ329,0)</f>
        <v>0</v>
      </c>
      <c r="AB329" s="32">
        <f>IF(AQ329="1",BH329,0)</f>
        <v>0</v>
      </c>
      <c r="AC329" s="32">
        <f>IF(AQ329="1",BI329,0)</f>
        <v>0</v>
      </c>
      <c r="AD329" s="32">
        <f>IF(AQ329="7",BH329,0)</f>
        <v>0</v>
      </c>
      <c r="AE329" s="32">
        <f>IF(AQ329="7",BI329,0)</f>
        <v>0</v>
      </c>
      <c r="AF329" s="32">
        <f>IF(AQ329="2",BH329,0)</f>
        <v>0</v>
      </c>
      <c r="AG329" s="32">
        <f>IF(AQ329="2",BI329,0)</f>
        <v>0</v>
      </c>
      <c r="AH329" s="32">
        <f>IF(AQ329="0",BJ329,0)</f>
        <v>0</v>
      </c>
      <c r="AI329" s="28"/>
      <c r="AJ329" s="17">
        <f>IF(AN329=0,K329,0)</f>
        <v>0</v>
      </c>
      <c r="AK329" s="17">
        <f>IF(AN329=15,K329,0)</f>
        <v>0</v>
      </c>
      <c r="AL329" s="17">
        <f>IF(AN329=21,K329,0)</f>
        <v>0</v>
      </c>
      <c r="AN329" s="32">
        <v>21</v>
      </c>
      <c r="AO329" s="32">
        <f>H329*1</f>
        <v>0</v>
      </c>
      <c r="AP329" s="32">
        <f>H329*(1-1)</f>
        <v>0</v>
      </c>
      <c r="AQ329" s="29" t="s">
        <v>13</v>
      </c>
      <c r="AV329" s="32">
        <f>AW329+AX329</f>
        <v>0</v>
      </c>
      <c r="AW329" s="32">
        <f>G329*AO329</f>
        <v>0</v>
      </c>
      <c r="AX329" s="32">
        <f>G329*AP329</f>
        <v>0</v>
      </c>
      <c r="AY329" s="33" t="s">
        <v>872</v>
      </c>
      <c r="AZ329" s="33" t="s">
        <v>888</v>
      </c>
      <c r="BA329" s="28" t="s">
        <v>891</v>
      </c>
      <c r="BC329" s="32">
        <f>AW329+AX329</f>
        <v>0</v>
      </c>
      <c r="BD329" s="32">
        <f>H329/(100-BE329)*100</f>
        <v>0</v>
      </c>
      <c r="BE329" s="32">
        <v>0</v>
      </c>
      <c r="BF329" s="32">
        <f>329</f>
        <v>329</v>
      </c>
      <c r="BH329" s="17">
        <f>G329*AO329</f>
        <v>0</v>
      </c>
      <c r="BI329" s="17">
        <f>G329*AP329</f>
        <v>0</v>
      </c>
      <c r="BJ329" s="17">
        <f>G329*H329</f>
        <v>0</v>
      </c>
    </row>
    <row r="330" spans="1:62" x14ac:dyDescent="0.2">
      <c r="C330" s="57" t="s">
        <v>619</v>
      </c>
      <c r="D330" s="58"/>
      <c r="E330" s="58"/>
      <c r="G330" s="16">
        <v>1</v>
      </c>
    </row>
    <row r="331" spans="1:62" x14ac:dyDescent="0.2">
      <c r="A331" s="6" t="s">
        <v>93</v>
      </c>
      <c r="B331" s="6" t="s">
        <v>255</v>
      </c>
      <c r="C331" s="67" t="s">
        <v>620</v>
      </c>
      <c r="D331" s="68"/>
      <c r="E331" s="68"/>
      <c r="F331" s="6" t="s">
        <v>820</v>
      </c>
      <c r="G331" s="17">
        <v>4</v>
      </c>
      <c r="H331" s="17">
        <v>0</v>
      </c>
      <c r="I331" s="17">
        <f>G331*AO331</f>
        <v>0</v>
      </c>
      <c r="J331" s="17">
        <f>G331*AP331</f>
        <v>0</v>
      </c>
      <c r="K331" s="17">
        <f>G331*H331</f>
        <v>0</v>
      </c>
      <c r="L331" s="29"/>
      <c r="Z331" s="32">
        <f>IF(AQ331="5",BJ331,0)</f>
        <v>0</v>
      </c>
      <c r="AB331" s="32">
        <f>IF(AQ331="1",BH331,0)</f>
        <v>0</v>
      </c>
      <c r="AC331" s="32">
        <f>IF(AQ331="1",BI331,0)</f>
        <v>0</v>
      </c>
      <c r="AD331" s="32">
        <f>IF(AQ331="7",BH331,0)</f>
        <v>0</v>
      </c>
      <c r="AE331" s="32">
        <f>IF(AQ331="7",BI331,0)</f>
        <v>0</v>
      </c>
      <c r="AF331" s="32">
        <f>IF(AQ331="2",BH331,0)</f>
        <v>0</v>
      </c>
      <c r="AG331" s="32">
        <f>IF(AQ331="2",BI331,0)</f>
        <v>0</v>
      </c>
      <c r="AH331" s="32">
        <f>IF(AQ331="0",BJ331,0)</f>
        <v>0</v>
      </c>
      <c r="AI331" s="28"/>
      <c r="AJ331" s="17">
        <f>IF(AN331=0,K331,0)</f>
        <v>0</v>
      </c>
      <c r="AK331" s="17">
        <f>IF(AN331=15,K331,0)</f>
        <v>0</v>
      </c>
      <c r="AL331" s="17">
        <f>IF(AN331=21,K331,0)</f>
        <v>0</v>
      </c>
      <c r="AN331" s="32">
        <v>21</v>
      </c>
      <c r="AO331" s="32">
        <f>H331*1</f>
        <v>0</v>
      </c>
      <c r="AP331" s="32">
        <f>H331*(1-1)</f>
        <v>0</v>
      </c>
      <c r="AQ331" s="29" t="s">
        <v>13</v>
      </c>
      <c r="AV331" s="32">
        <f>AW331+AX331</f>
        <v>0</v>
      </c>
      <c r="AW331" s="32">
        <f>G331*AO331</f>
        <v>0</v>
      </c>
      <c r="AX331" s="32">
        <f>G331*AP331</f>
        <v>0</v>
      </c>
      <c r="AY331" s="33" t="s">
        <v>872</v>
      </c>
      <c r="AZ331" s="33" t="s">
        <v>888</v>
      </c>
      <c r="BA331" s="28" t="s">
        <v>891</v>
      </c>
      <c r="BC331" s="32">
        <f>AW331+AX331</f>
        <v>0</v>
      </c>
      <c r="BD331" s="32">
        <f>H331/(100-BE331)*100</f>
        <v>0</v>
      </c>
      <c r="BE331" s="32">
        <v>0</v>
      </c>
      <c r="BF331" s="32">
        <f>331</f>
        <v>331</v>
      </c>
      <c r="BH331" s="17">
        <f>G331*AO331</f>
        <v>0</v>
      </c>
      <c r="BI331" s="17">
        <f>G331*AP331</f>
        <v>0</v>
      </c>
      <c r="BJ331" s="17">
        <f>G331*H331</f>
        <v>0</v>
      </c>
    </row>
    <row r="332" spans="1:62" x14ac:dyDescent="0.2">
      <c r="C332" s="57" t="s">
        <v>621</v>
      </c>
      <c r="D332" s="58"/>
      <c r="E332" s="58"/>
      <c r="G332" s="16">
        <v>4</v>
      </c>
    </row>
    <row r="333" spans="1:62" x14ac:dyDescent="0.2">
      <c r="A333" s="6" t="s">
        <v>94</v>
      </c>
      <c r="B333" s="6" t="s">
        <v>256</v>
      </c>
      <c r="C333" s="67" t="s">
        <v>622</v>
      </c>
      <c r="D333" s="68"/>
      <c r="E333" s="68"/>
      <c r="F333" s="6" t="s">
        <v>820</v>
      </c>
      <c r="G333" s="17">
        <v>1</v>
      </c>
      <c r="H333" s="17">
        <v>0</v>
      </c>
      <c r="I333" s="17">
        <f>G333*AO333</f>
        <v>0</v>
      </c>
      <c r="J333" s="17">
        <f>G333*AP333</f>
        <v>0</v>
      </c>
      <c r="K333" s="17">
        <f>G333*H333</f>
        <v>0</v>
      </c>
      <c r="L333" s="29"/>
      <c r="Z333" s="32">
        <f>IF(AQ333="5",BJ333,0)</f>
        <v>0</v>
      </c>
      <c r="AB333" s="32">
        <f>IF(AQ333="1",BH333,0)</f>
        <v>0</v>
      </c>
      <c r="AC333" s="32">
        <f>IF(AQ333="1",BI333,0)</f>
        <v>0</v>
      </c>
      <c r="AD333" s="32">
        <f>IF(AQ333="7",BH333,0)</f>
        <v>0</v>
      </c>
      <c r="AE333" s="32">
        <f>IF(AQ333="7",BI333,0)</f>
        <v>0</v>
      </c>
      <c r="AF333" s="32">
        <f>IF(AQ333="2",BH333,0)</f>
        <v>0</v>
      </c>
      <c r="AG333" s="32">
        <f>IF(AQ333="2",BI333,0)</f>
        <v>0</v>
      </c>
      <c r="AH333" s="32">
        <f>IF(AQ333="0",BJ333,0)</f>
        <v>0</v>
      </c>
      <c r="AI333" s="28"/>
      <c r="AJ333" s="17">
        <f>IF(AN333=0,K333,0)</f>
        <v>0</v>
      </c>
      <c r="AK333" s="17">
        <f>IF(AN333=15,K333,0)</f>
        <v>0</v>
      </c>
      <c r="AL333" s="17">
        <f>IF(AN333=21,K333,0)</f>
        <v>0</v>
      </c>
      <c r="AN333" s="32">
        <v>21</v>
      </c>
      <c r="AO333" s="32">
        <f>H333*1</f>
        <v>0</v>
      </c>
      <c r="AP333" s="32">
        <f>H333*(1-1)</f>
        <v>0</v>
      </c>
      <c r="AQ333" s="29" t="s">
        <v>13</v>
      </c>
      <c r="AV333" s="32">
        <f>AW333+AX333</f>
        <v>0</v>
      </c>
      <c r="AW333" s="32">
        <f>G333*AO333</f>
        <v>0</v>
      </c>
      <c r="AX333" s="32">
        <f>G333*AP333</f>
        <v>0</v>
      </c>
      <c r="AY333" s="33" t="s">
        <v>872</v>
      </c>
      <c r="AZ333" s="33" t="s">
        <v>888</v>
      </c>
      <c r="BA333" s="28" t="s">
        <v>891</v>
      </c>
      <c r="BC333" s="32">
        <f>AW333+AX333</f>
        <v>0</v>
      </c>
      <c r="BD333" s="32">
        <f>H333/(100-BE333)*100</f>
        <v>0</v>
      </c>
      <c r="BE333" s="32">
        <v>0</v>
      </c>
      <c r="BF333" s="32">
        <f>333</f>
        <v>333</v>
      </c>
      <c r="BH333" s="17">
        <f>G333*AO333</f>
        <v>0</v>
      </c>
      <c r="BI333" s="17">
        <f>G333*AP333</f>
        <v>0</v>
      </c>
      <c r="BJ333" s="17">
        <f>G333*H333</f>
        <v>0</v>
      </c>
    </row>
    <row r="334" spans="1:62" x14ac:dyDescent="0.2">
      <c r="C334" s="57" t="s">
        <v>623</v>
      </c>
      <c r="D334" s="58"/>
      <c r="E334" s="58"/>
      <c r="G334" s="16">
        <v>1</v>
      </c>
    </row>
    <row r="335" spans="1:62" x14ac:dyDescent="0.2">
      <c r="A335" s="6" t="s">
        <v>95</v>
      </c>
      <c r="B335" s="6" t="s">
        <v>257</v>
      </c>
      <c r="C335" s="67" t="s">
        <v>624</v>
      </c>
      <c r="D335" s="68"/>
      <c r="E335" s="68"/>
      <c r="F335" s="6" t="s">
        <v>820</v>
      </c>
      <c r="G335" s="17">
        <v>29</v>
      </c>
      <c r="H335" s="17">
        <v>0</v>
      </c>
      <c r="I335" s="17">
        <f>G335*AO335</f>
        <v>0</v>
      </c>
      <c r="J335" s="17">
        <f>G335*AP335</f>
        <v>0</v>
      </c>
      <c r="K335" s="17">
        <f>G335*H335</f>
        <v>0</v>
      </c>
      <c r="L335" s="29"/>
      <c r="Z335" s="32">
        <f>IF(AQ335="5",BJ335,0)</f>
        <v>0</v>
      </c>
      <c r="AB335" s="32">
        <f>IF(AQ335="1",BH335,0)</f>
        <v>0</v>
      </c>
      <c r="AC335" s="32">
        <f>IF(AQ335="1",BI335,0)</f>
        <v>0</v>
      </c>
      <c r="AD335" s="32">
        <f>IF(AQ335="7",BH335,0)</f>
        <v>0</v>
      </c>
      <c r="AE335" s="32">
        <f>IF(AQ335="7",BI335,0)</f>
        <v>0</v>
      </c>
      <c r="AF335" s="32">
        <f>IF(AQ335="2",BH335,0)</f>
        <v>0</v>
      </c>
      <c r="AG335" s="32">
        <f>IF(AQ335="2",BI335,0)</f>
        <v>0</v>
      </c>
      <c r="AH335" s="32">
        <f>IF(AQ335="0",BJ335,0)</f>
        <v>0</v>
      </c>
      <c r="AI335" s="28"/>
      <c r="AJ335" s="17">
        <f>IF(AN335=0,K335,0)</f>
        <v>0</v>
      </c>
      <c r="AK335" s="17">
        <f>IF(AN335=15,K335,0)</f>
        <v>0</v>
      </c>
      <c r="AL335" s="17">
        <f>IF(AN335=21,K335,0)</f>
        <v>0</v>
      </c>
      <c r="AN335" s="32">
        <v>21</v>
      </c>
      <c r="AO335" s="32">
        <f>H335*1</f>
        <v>0</v>
      </c>
      <c r="AP335" s="32">
        <f>H335*(1-1)</f>
        <v>0</v>
      </c>
      <c r="AQ335" s="29" t="s">
        <v>13</v>
      </c>
      <c r="AV335" s="32">
        <f>AW335+AX335</f>
        <v>0</v>
      </c>
      <c r="AW335" s="32">
        <f>G335*AO335</f>
        <v>0</v>
      </c>
      <c r="AX335" s="32">
        <f>G335*AP335</f>
        <v>0</v>
      </c>
      <c r="AY335" s="33" t="s">
        <v>872</v>
      </c>
      <c r="AZ335" s="33" t="s">
        <v>888</v>
      </c>
      <c r="BA335" s="28" t="s">
        <v>891</v>
      </c>
      <c r="BC335" s="32">
        <f>AW335+AX335</f>
        <v>0</v>
      </c>
      <c r="BD335" s="32">
        <f>H335/(100-BE335)*100</f>
        <v>0</v>
      </c>
      <c r="BE335" s="32">
        <v>0</v>
      </c>
      <c r="BF335" s="32">
        <f>335</f>
        <v>335</v>
      </c>
      <c r="BH335" s="17">
        <f>G335*AO335</f>
        <v>0</v>
      </c>
      <c r="BI335" s="17">
        <f>G335*AP335</f>
        <v>0</v>
      </c>
      <c r="BJ335" s="17">
        <f>G335*H335</f>
        <v>0</v>
      </c>
    </row>
    <row r="336" spans="1:62" x14ac:dyDescent="0.2">
      <c r="C336" s="57" t="s">
        <v>625</v>
      </c>
      <c r="D336" s="58"/>
      <c r="E336" s="58"/>
      <c r="G336" s="16">
        <v>29</v>
      </c>
    </row>
    <row r="337" spans="1:62" x14ac:dyDescent="0.2">
      <c r="A337" s="6" t="s">
        <v>96</v>
      </c>
      <c r="B337" s="6" t="s">
        <v>258</v>
      </c>
      <c r="C337" s="67" t="s">
        <v>626</v>
      </c>
      <c r="D337" s="68"/>
      <c r="E337" s="68"/>
      <c r="F337" s="6" t="s">
        <v>820</v>
      </c>
      <c r="G337" s="17">
        <v>19</v>
      </c>
      <c r="H337" s="17">
        <v>0</v>
      </c>
      <c r="I337" s="17">
        <f>G337*AO337</f>
        <v>0</v>
      </c>
      <c r="J337" s="17">
        <f>G337*AP337</f>
        <v>0</v>
      </c>
      <c r="K337" s="17">
        <f>G337*H337</f>
        <v>0</v>
      </c>
      <c r="L337" s="29"/>
      <c r="Z337" s="32">
        <f>IF(AQ337="5",BJ337,0)</f>
        <v>0</v>
      </c>
      <c r="AB337" s="32">
        <f>IF(AQ337="1",BH337,0)</f>
        <v>0</v>
      </c>
      <c r="AC337" s="32">
        <f>IF(AQ337="1",BI337,0)</f>
        <v>0</v>
      </c>
      <c r="AD337" s="32">
        <f>IF(AQ337="7",BH337,0)</f>
        <v>0</v>
      </c>
      <c r="AE337" s="32">
        <f>IF(AQ337="7",BI337,0)</f>
        <v>0</v>
      </c>
      <c r="AF337" s="32">
        <f>IF(AQ337="2",BH337,0)</f>
        <v>0</v>
      </c>
      <c r="AG337" s="32">
        <f>IF(AQ337="2",BI337,0)</f>
        <v>0</v>
      </c>
      <c r="AH337" s="32">
        <f>IF(AQ337="0",BJ337,0)</f>
        <v>0</v>
      </c>
      <c r="AI337" s="28"/>
      <c r="AJ337" s="17">
        <f>IF(AN337=0,K337,0)</f>
        <v>0</v>
      </c>
      <c r="AK337" s="17">
        <f>IF(AN337=15,K337,0)</f>
        <v>0</v>
      </c>
      <c r="AL337" s="17">
        <f>IF(AN337=21,K337,0)</f>
        <v>0</v>
      </c>
      <c r="AN337" s="32">
        <v>21</v>
      </c>
      <c r="AO337" s="32">
        <f>H337*1</f>
        <v>0</v>
      </c>
      <c r="AP337" s="32">
        <f>H337*(1-1)</f>
        <v>0</v>
      </c>
      <c r="AQ337" s="29" t="s">
        <v>13</v>
      </c>
      <c r="AV337" s="32">
        <f>AW337+AX337</f>
        <v>0</v>
      </c>
      <c r="AW337" s="32">
        <f>G337*AO337</f>
        <v>0</v>
      </c>
      <c r="AX337" s="32">
        <f>G337*AP337</f>
        <v>0</v>
      </c>
      <c r="AY337" s="33" t="s">
        <v>872</v>
      </c>
      <c r="AZ337" s="33" t="s">
        <v>888</v>
      </c>
      <c r="BA337" s="28" t="s">
        <v>891</v>
      </c>
      <c r="BC337" s="32">
        <f>AW337+AX337</f>
        <v>0</v>
      </c>
      <c r="BD337" s="32">
        <f>H337/(100-BE337)*100</f>
        <v>0</v>
      </c>
      <c r="BE337" s="32">
        <v>0</v>
      </c>
      <c r="BF337" s="32">
        <f>337</f>
        <v>337</v>
      </c>
      <c r="BH337" s="17">
        <f>G337*AO337</f>
        <v>0</v>
      </c>
      <c r="BI337" s="17">
        <f>G337*AP337</f>
        <v>0</v>
      </c>
      <c r="BJ337" s="17">
        <f>G337*H337</f>
        <v>0</v>
      </c>
    </row>
    <row r="338" spans="1:62" x14ac:dyDescent="0.2">
      <c r="C338" s="57" t="s">
        <v>627</v>
      </c>
      <c r="D338" s="58"/>
      <c r="E338" s="58"/>
      <c r="G338" s="16">
        <v>19</v>
      </c>
    </row>
    <row r="339" spans="1:62" x14ac:dyDescent="0.2">
      <c r="A339" s="6" t="s">
        <v>97</v>
      </c>
      <c r="B339" s="6" t="s">
        <v>259</v>
      </c>
      <c r="C339" s="67" t="s">
        <v>628</v>
      </c>
      <c r="D339" s="68"/>
      <c r="E339" s="68"/>
      <c r="F339" s="6" t="s">
        <v>820</v>
      </c>
      <c r="G339" s="17">
        <v>2</v>
      </c>
      <c r="H339" s="17">
        <v>0</v>
      </c>
      <c r="I339" s="17">
        <f>G339*AO339</f>
        <v>0</v>
      </c>
      <c r="J339" s="17">
        <f>G339*AP339</f>
        <v>0</v>
      </c>
      <c r="K339" s="17">
        <f>G339*H339</f>
        <v>0</v>
      </c>
      <c r="L339" s="29"/>
      <c r="Z339" s="32">
        <f>IF(AQ339="5",BJ339,0)</f>
        <v>0</v>
      </c>
      <c r="AB339" s="32">
        <f>IF(AQ339="1",BH339,0)</f>
        <v>0</v>
      </c>
      <c r="AC339" s="32">
        <f>IF(AQ339="1",BI339,0)</f>
        <v>0</v>
      </c>
      <c r="AD339" s="32">
        <f>IF(AQ339="7",BH339,0)</f>
        <v>0</v>
      </c>
      <c r="AE339" s="32">
        <f>IF(AQ339="7",BI339,0)</f>
        <v>0</v>
      </c>
      <c r="AF339" s="32">
        <f>IF(AQ339="2",BH339,0)</f>
        <v>0</v>
      </c>
      <c r="AG339" s="32">
        <f>IF(AQ339="2",BI339,0)</f>
        <v>0</v>
      </c>
      <c r="AH339" s="32">
        <f>IF(AQ339="0",BJ339,0)</f>
        <v>0</v>
      </c>
      <c r="AI339" s="28"/>
      <c r="AJ339" s="17">
        <f>IF(AN339=0,K339,0)</f>
        <v>0</v>
      </c>
      <c r="AK339" s="17">
        <f>IF(AN339=15,K339,0)</f>
        <v>0</v>
      </c>
      <c r="AL339" s="17">
        <f>IF(AN339=21,K339,0)</f>
        <v>0</v>
      </c>
      <c r="AN339" s="32">
        <v>21</v>
      </c>
      <c r="AO339" s="32">
        <f>H339*1</f>
        <v>0</v>
      </c>
      <c r="AP339" s="32">
        <f>H339*(1-1)</f>
        <v>0</v>
      </c>
      <c r="AQ339" s="29" t="s">
        <v>13</v>
      </c>
      <c r="AV339" s="32">
        <f>AW339+AX339</f>
        <v>0</v>
      </c>
      <c r="AW339" s="32">
        <f>G339*AO339</f>
        <v>0</v>
      </c>
      <c r="AX339" s="32">
        <f>G339*AP339</f>
        <v>0</v>
      </c>
      <c r="AY339" s="33" t="s">
        <v>872</v>
      </c>
      <c r="AZ339" s="33" t="s">
        <v>888</v>
      </c>
      <c r="BA339" s="28" t="s">
        <v>891</v>
      </c>
      <c r="BC339" s="32">
        <f>AW339+AX339</f>
        <v>0</v>
      </c>
      <c r="BD339" s="32">
        <f>H339/(100-BE339)*100</f>
        <v>0</v>
      </c>
      <c r="BE339" s="32">
        <v>0</v>
      </c>
      <c r="BF339" s="32">
        <f>339</f>
        <v>339</v>
      </c>
      <c r="BH339" s="17">
        <f>G339*AO339</f>
        <v>0</v>
      </c>
      <c r="BI339" s="17">
        <f>G339*AP339</f>
        <v>0</v>
      </c>
      <c r="BJ339" s="17">
        <f>G339*H339</f>
        <v>0</v>
      </c>
    </row>
    <row r="340" spans="1:62" x14ac:dyDescent="0.2">
      <c r="C340" s="57" t="s">
        <v>629</v>
      </c>
      <c r="D340" s="58"/>
      <c r="E340" s="58"/>
      <c r="G340" s="16">
        <v>1</v>
      </c>
    </row>
    <row r="341" spans="1:62" x14ac:dyDescent="0.2">
      <c r="C341" s="57" t="s">
        <v>630</v>
      </c>
      <c r="D341" s="58"/>
      <c r="E341" s="58"/>
      <c r="G341" s="16">
        <v>1</v>
      </c>
    </row>
    <row r="342" spans="1:62" x14ac:dyDescent="0.2">
      <c r="A342" s="6" t="s">
        <v>98</v>
      </c>
      <c r="B342" s="6" t="s">
        <v>260</v>
      </c>
      <c r="C342" s="67" t="s">
        <v>631</v>
      </c>
      <c r="D342" s="68"/>
      <c r="E342" s="68"/>
      <c r="F342" s="6" t="s">
        <v>820</v>
      </c>
      <c r="G342" s="17">
        <v>2</v>
      </c>
      <c r="H342" s="17">
        <v>0</v>
      </c>
      <c r="I342" s="17">
        <f>G342*AO342</f>
        <v>0</v>
      </c>
      <c r="J342" s="17">
        <f>G342*AP342</f>
        <v>0</v>
      </c>
      <c r="K342" s="17">
        <f>G342*H342</f>
        <v>0</v>
      </c>
      <c r="L342" s="29"/>
      <c r="Z342" s="32">
        <f>IF(AQ342="5",BJ342,0)</f>
        <v>0</v>
      </c>
      <c r="AB342" s="32">
        <f>IF(AQ342="1",BH342,0)</f>
        <v>0</v>
      </c>
      <c r="AC342" s="32">
        <f>IF(AQ342="1",BI342,0)</f>
        <v>0</v>
      </c>
      <c r="AD342" s="32">
        <f>IF(AQ342="7",BH342,0)</f>
        <v>0</v>
      </c>
      <c r="AE342" s="32">
        <f>IF(AQ342="7",BI342,0)</f>
        <v>0</v>
      </c>
      <c r="AF342" s="32">
        <f>IF(AQ342="2",BH342,0)</f>
        <v>0</v>
      </c>
      <c r="AG342" s="32">
        <f>IF(AQ342="2",BI342,0)</f>
        <v>0</v>
      </c>
      <c r="AH342" s="32">
        <f>IF(AQ342="0",BJ342,0)</f>
        <v>0</v>
      </c>
      <c r="AI342" s="28"/>
      <c r="AJ342" s="17">
        <f>IF(AN342=0,K342,0)</f>
        <v>0</v>
      </c>
      <c r="AK342" s="17">
        <f>IF(AN342=15,K342,0)</f>
        <v>0</v>
      </c>
      <c r="AL342" s="17">
        <f>IF(AN342=21,K342,0)</f>
        <v>0</v>
      </c>
      <c r="AN342" s="32">
        <v>21</v>
      </c>
      <c r="AO342" s="32">
        <f>H342*1</f>
        <v>0</v>
      </c>
      <c r="AP342" s="32">
        <f>H342*(1-1)</f>
        <v>0</v>
      </c>
      <c r="AQ342" s="29" t="s">
        <v>13</v>
      </c>
      <c r="AV342" s="32">
        <f>AW342+AX342</f>
        <v>0</v>
      </c>
      <c r="AW342" s="32">
        <f>G342*AO342</f>
        <v>0</v>
      </c>
      <c r="AX342" s="32">
        <f>G342*AP342</f>
        <v>0</v>
      </c>
      <c r="AY342" s="33" t="s">
        <v>872</v>
      </c>
      <c r="AZ342" s="33" t="s">
        <v>888</v>
      </c>
      <c r="BA342" s="28" t="s">
        <v>891</v>
      </c>
      <c r="BC342" s="32">
        <f>AW342+AX342</f>
        <v>0</v>
      </c>
      <c r="BD342" s="32">
        <f>H342/(100-BE342)*100</f>
        <v>0</v>
      </c>
      <c r="BE342" s="32">
        <v>0</v>
      </c>
      <c r="BF342" s="32">
        <f>342</f>
        <v>342</v>
      </c>
      <c r="BH342" s="17">
        <f>G342*AO342</f>
        <v>0</v>
      </c>
      <c r="BI342" s="17">
        <f>G342*AP342</f>
        <v>0</v>
      </c>
      <c r="BJ342" s="17">
        <f>G342*H342</f>
        <v>0</v>
      </c>
    </row>
    <row r="343" spans="1:62" x14ac:dyDescent="0.2">
      <c r="C343" s="57" t="s">
        <v>632</v>
      </c>
      <c r="D343" s="58"/>
      <c r="E343" s="58"/>
      <c r="G343" s="16">
        <v>2</v>
      </c>
    </row>
    <row r="344" spans="1:62" x14ac:dyDescent="0.2">
      <c r="A344" s="6" t="s">
        <v>99</v>
      </c>
      <c r="B344" s="6" t="s">
        <v>261</v>
      </c>
      <c r="C344" s="67" t="s">
        <v>633</v>
      </c>
      <c r="D344" s="68"/>
      <c r="E344" s="68"/>
      <c r="F344" s="6" t="s">
        <v>820</v>
      </c>
      <c r="G344" s="17">
        <v>1</v>
      </c>
      <c r="H344" s="17">
        <v>0</v>
      </c>
      <c r="I344" s="17">
        <f>G344*AO344</f>
        <v>0</v>
      </c>
      <c r="J344" s="17">
        <f>G344*AP344</f>
        <v>0</v>
      </c>
      <c r="K344" s="17">
        <f>G344*H344</f>
        <v>0</v>
      </c>
      <c r="L344" s="29"/>
      <c r="Z344" s="32">
        <f>IF(AQ344="5",BJ344,0)</f>
        <v>0</v>
      </c>
      <c r="AB344" s="32">
        <f>IF(AQ344="1",BH344,0)</f>
        <v>0</v>
      </c>
      <c r="AC344" s="32">
        <f>IF(AQ344="1",BI344,0)</f>
        <v>0</v>
      </c>
      <c r="AD344" s="32">
        <f>IF(AQ344="7",BH344,0)</f>
        <v>0</v>
      </c>
      <c r="AE344" s="32">
        <f>IF(AQ344="7",BI344,0)</f>
        <v>0</v>
      </c>
      <c r="AF344" s="32">
        <f>IF(AQ344="2",BH344,0)</f>
        <v>0</v>
      </c>
      <c r="AG344" s="32">
        <f>IF(AQ344="2",BI344,0)</f>
        <v>0</v>
      </c>
      <c r="AH344" s="32">
        <f>IF(AQ344="0",BJ344,0)</f>
        <v>0</v>
      </c>
      <c r="AI344" s="28"/>
      <c r="AJ344" s="17">
        <f>IF(AN344=0,K344,0)</f>
        <v>0</v>
      </c>
      <c r="AK344" s="17">
        <f>IF(AN344=15,K344,0)</f>
        <v>0</v>
      </c>
      <c r="AL344" s="17">
        <f>IF(AN344=21,K344,0)</f>
        <v>0</v>
      </c>
      <c r="AN344" s="32">
        <v>21</v>
      </c>
      <c r="AO344" s="32">
        <f>H344*1</f>
        <v>0</v>
      </c>
      <c r="AP344" s="32">
        <f>H344*(1-1)</f>
        <v>0</v>
      </c>
      <c r="AQ344" s="29" t="s">
        <v>13</v>
      </c>
      <c r="AV344" s="32">
        <f>AW344+AX344</f>
        <v>0</v>
      </c>
      <c r="AW344" s="32">
        <f>G344*AO344</f>
        <v>0</v>
      </c>
      <c r="AX344" s="32">
        <f>G344*AP344</f>
        <v>0</v>
      </c>
      <c r="AY344" s="33" t="s">
        <v>872</v>
      </c>
      <c r="AZ344" s="33" t="s">
        <v>888</v>
      </c>
      <c r="BA344" s="28" t="s">
        <v>891</v>
      </c>
      <c r="BC344" s="32">
        <f>AW344+AX344</f>
        <v>0</v>
      </c>
      <c r="BD344" s="32">
        <f>H344/(100-BE344)*100</f>
        <v>0</v>
      </c>
      <c r="BE344" s="32">
        <v>0</v>
      </c>
      <c r="BF344" s="32">
        <f>344</f>
        <v>344</v>
      </c>
      <c r="BH344" s="17">
        <f>G344*AO344</f>
        <v>0</v>
      </c>
      <c r="BI344" s="17">
        <f>G344*AP344</f>
        <v>0</v>
      </c>
      <c r="BJ344" s="17">
        <f>G344*H344</f>
        <v>0</v>
      </c>
    </row>
    <row r="345" spans="1:62" x14ac:dyDescent="0.2">
      <c r="C345" s="57" t="s">
        <v>634</v>
      </c>
      <c r="D345" s="58"/>
      <c r="E345" s="58"/>
      <c r="G345" s="16">
        <v>1</v>
      </c>
    </row>
    <row r="346" spans="1:62" x14ac:dyDescent="0.2">
      <c r="A346" s="6" t="s">
        <v>100</v>
      </c>
      <c r="B346" s="6" t="s">
        <v>262</v>
      </c>
      <c r="C346" s="67" t="s">
        <v>635</v>
      </c>
      <c r="D346" s="68"/>
      <c r="E346" s="68"/>
      <c r="F346" s="6" t="s">
        <v>820</v>
      </c>
      <c r="G346" s="17">
        <v>2</v>
      </c>
      <c r="H346" s="17">
        <v>0</v>
      </c>
      <c r="I346" s="17">
        <f>G346*AO346</f>
        <v>0</v>
      </c>
      <c r="J346" s="17">
        <f>G346*AP346</f>
        <v>0</v>
      </c>
      <c r="K346" s="17">
        <f>G346*H346</f>
        <v>0</v>
      </c>
      <c r="L346" s="29" t="s">
        <v>840</v>
      </c>
      <c r="Z346" s="32">
        <f>IF(AQ346="5",BJ346,0)</f>
        <v>0</v>
      </c>
      <c r="AB346" s="32">
        <f>IF(AQ346="1",BH346,0)</f>
        <v>0</v>
      </c>
      <c r="AC346" s="32">
        <f>IF(AQ346="1",BI346,0)</f>
        <v>0</v>
      </c>
      <c r="AD346" s="32">
        <f>IF(AQ346="7",BH346,0)</f>
        <v>0</v>
      </c>
      <c r="AE346" s="32">
        <f>IF(AQ346="7",BI346,0)</f>
        <v>0</v>
      </c>
      <c r="AF346" s="32">
        <f>IF(AQ346="2",BH346,0)</f>
        <v>0</v>
      </c>
      <c r="AG346" s="32">
        <f>IF(AQ346="2",BI346,0)</f>
        <v>0</v>
      </c>
      <c r="AH346" s="32">
        <f>IF(AQ346="0",BJ346,0)</f>
        <v>0</v>
      </c>
      <c r="AI346" s="28"/>
      <c r="AJ346" s="17">
        <f>IF(AN346=0,K346,0)</f>
        <v>0</v>
      </c>
      <c r="AK346" s="17">
        <f>IF(AN346=15,K346,0)</f>
        <v>0</v>
      </c>
      <c r="AL346" s="17">
        <f>IF(AN346=21,K346,0)</f>
        <v>0</v>
      </c>
      <c r="AN346" s="32">
        <v>21</v>
      </c>
      <c r="AO346" s="32">
        <f>H346*1</f>
        <v>0</v>
      </c>
      <c r="AP346" s="32">
        <f>H346*(1-1)</f>
        <v>0</v>
      </c>
      <c r="AQ346" s="29" t="s">
        <v>13</v>
      </c>
      <c r="AV346" s="32">
        <f>AW346+AX346</f>
        <v>0</v>
      </c>
      <c r="AW346" s="32">
        <f>G346*AO346</f>
        <v>0</v>
      </c>
      <c r="AX346" s="32">
        <f>G346*AP346</f>
        <v>0</v>
      </c>
      <c r="AY346" s="33" t="s">
        <v>872</v>
      </c>
      <c r="AZ346" s="33" t="s">
        <v>888</v>
      </c>
      <c r="BA346" s="28" t="s">
        <v>891</v>
      </c>
      <c r="BC346" s="32">
        <f>AW346+AX346</f>
        <v>0</v>
      </c>
      <c r="BD346" s="32">
        <f>H346/(100-BE346)*100</f>
        <v>0</v>
      </c>
      <c r="BE346" s="32">
        <v>0</v>
      </c>
      <c r="BF346" s="32">
        <f>346</f>
        <v>346</v>
      </c>
      <c r="BH346" s="17">
        <f>G346*AO346</f>
        <v>0</v>
      </c>
      <c r="BI346" s="17">
        <f>G346*AP346</f>
        <v>0</v>
      </c>
      <c r="BJ346" s="17">
        <f>G346*H346</f>
        <v>0</v>
      </c>
    </row>
    <row r="347" spans="1:62" x14ac:dyDescent="0.2">
      <c r="C347" s="57" t="s">
        <v>636</v>
      </c>
      <c r="D347" s="58"/>
      <c r="E347" s="58"/>
      <c r="G347" s="16">
        <v>2</v>
      </c>
    </row>
    <row r="348" spans="1:62" x14ac:dyDescent="0.2">
      <c r="A348" s="6" t="s">
        <v>101</v>
      </c>
      <c r="B348" s="6" t="s">
        <v>263</v>
      </c>
      <c r="C348" s="67" t="s">
        <v>637</v>
      </c>
      <c r="D348" s="68"/>
      <c r="E348" s="68"/>
      <c r="F348" s="6" t="s">
        <v>820</v>
      </c>
      <c r="G348" s="17">
        <v>1</v>
      </c>
      <c r="H348" s="17">
        <v>0</v>
      </c>
      <c r="I348" s="17">
        <f>G348*AO348</f>
        <v>0</v>
      </c>
      <c r="J348" s="17">
        <f>G348*AP348</f>
        <v>0</v>
      </c>
      <c r="K348" s="17">
        <f>G348*H348</f>
        <v>0</v>
      </c>
      <c r="L348" s="29"/>
      <c r="Z348" s="32">
        <f>IF(AQ348="5",BJ348,0)</f>
        <v>0</v>
      </c>
      <c r="AB348" s="32">
        <f>IF(AQ348="1",BH348,0)</f>
        <v>0</v>
      </c>
      <c r="AC348" s="32">
        <f>IF(AQ348="1",BI348,0)</f>
        <v>0</v>
      </c>
      <c r="AD348" s="32">
        <f>IF(AQ348="7",BH348,0)</f>
        <v>0</v>
      </c>
      <c r="AE348" s="32">
        <f>IF(AQ348="7",BI348,0)</f>
        <v>0</v>
      </c>
      <c r="AF348" s="32">
        <f>IF(AQ348="2",BH348,0)</f>
        <v>0</v>
      </c>
      <c r="AG348" s="32">
        <f>IF(AQ348="2",BI348,0)</f>
        <v>0</v>
      </c>
      <c r="AH348" s="32">
        <f>IF(AQ348="0",BJ348,0)</f>
        <v>0</v>
      </c>
      <c r="AI348" s="28"/>
      <c r="AJ348" s="17">
        <f>IF(AN348=0,K348,0)</f>
        <v>0</v>
      </c>
      <c r="AK348" s="17">
        <f>IF(AN348=15,K348,0)</f>
        <v>0</v>
      </c>
      <c r="AL348" s="17">
        <f>IF(AN348=21,K348,0)</f>
        <v>0</v>
      </c>
      <c r="AN348" s="32">
        <v>21</v>
      </c>
      <c r="AO348" s="32">
        <f>H348*1</f>
        <v>0</v>
      </c>
      <c r="AP348" s="32">
        <f>H348*(1-1)</f>
        <v>0</v>
      </c>
      <c r="AQ348" s="29" t="s">
        <v>13</v>
      </c>
      <c r="AV348" s="32">
        <f>AW348+AX348</f>
        <v>0</v>
      </c>
      <c r="AW348" s="32">
        <f>G348*AO348</f>
        <v>0</v>
      </c>
      <c r="AX348" s="32">
        <f>G348*AP348</f>
        <v>0</v>
      </c>
      <c r="AY348" s="33" t="s">
        <v>872</v>
      </c>
      <c r="AZ348" s="33" t="s">
        <v>888</v>
      </c>
      <c r="BA348" s="28" t="s">
        <v>891</v>
      </c>
      <c r="BC348" s="32">
        <f>AW348+AX348</f>
        <v>0</v>
      </c>
      <c r="BD348" s="32">
        <f>H348/(100-BE348)*100</f>
        <v>0</v>
      </c>
      <c r="BE348" s="32">
        <v>0</v>
      </c>
      <c r="BF348" s="32">
        <f>348</f>
        <v>348</v>
      </c>
      <c r="BH348" s="17">
        <f>G348*AO348</f>
        <v>0</v>
      </c>
      <c r="BI348" s="17">
        <f>G348*AP348</f>
        <v>0</v>
      </c>
      <c r="BJ348" s="17">
        <f>G348*H348</f>
        <v>0</v>
      </c>
    </row>
    <row r="349" spans="1:62" x14ac:dyDescent="0.2">
      <c r="C349" s="57" t="s">
        <v>638</v>
      </c>
      <c r="D349" s="58"/>
      <c r="E349" s="58"/>
      <c r="G349" s="16">
        <v>1</v>
      </c>
    </row>
    <row r="350" spans="1:62" x14ac:dyDescent="0.2">
      <c r="A350" s="6" t="s">
        <v>102</v>
      </c>
      <c r="B350" s="6" t="s">
        <v>264</v>
      </c>
      <c r="C350" s="67" t="s">
        <v>639</v>
      </c>
      <c r="D350" s="68"/>
      <c r="E350" s="68"/>
      <c r="F350" s="6" t="s">
        <v>820</v>
      </c>
      <c r="G350" s="17">
        <v>1</v>
      </c>
      <c r="H350" s="17">
        <v>0</v>
      </c>
      <c r="I350" s="17">
        <f>G350*AO350</f>
        <v>0</v>
      </c>
      <c r="J350" s="17">
        <f>G350*AP350</f>
        <v>0</v>
      </c>
      <c r="K350" s="17">
        <f>G350*H350</f>
        <v>0</v>
      </c>
      <c r="L350" s="29"/>
      <c r="Z350" s="32">
        <f>IF(AQ350="5",BJ350,0)</f>
        <v>0</v>
      </c>
      <c r="AB350" s="32">
        <f>IF(AQ350="1",BH350,0)</f>
        <v>0</v>
      </c>
      <c r="AC350" s="32">
        <f>IF(AQ350="1",BI350,0)</f>
        <v>0</v>
      </c>
      <c r="AD350" s="32">
        <f>IF(AQ350="7",BH350,0)</f>
        <v>0</v>
      </c>
      <c r="AE350" s="32">
        <f>IF(AQ350="7",BI350,0)</f>
        <v>0</v>
      </c>
      <c r="AF350" s="32">
        <f>IF(AQ350="2",BH350,0)</f>
        <v>0</v>
      </c>
      <c r="AG350" s="32">
        <f>IF(AQ350="2",BI350,0)</f>
        <v>0</v>
      </c>
      <c r="AH350" s="32">
        <f>IF(AQ350="0",BJ350,0)</f>
        <v>0</v>
      </c>
      <c r="AI350" s="28"/>
      <c r="AJ350" s="17">
        <f>IF(AN350=0,K350,0)</f>
        <v>0</v>
      </c>
      <c r="AK350" s="17">
        <f>IF(AN350=15,K350,0)</f>
        <v>0</v>
      </c>
      <c r="AL350" s="17">
        <f>IF(AN350=21,K350,0)</f>
        <v>0</v>
      </c>
      <c r="AN350" s="32">
        <v>21</v>
      </c>
      <c r="AO350" s="32">
        <f>H350*1</f>
        <v>0</v>
      </c>
      <c r="AP350" s="32">
        <f>H350*(1-1)</f>
        <v>0</v>
      </c>
      <c r="AQ350" s="29" t="s">
        <v>13</v>
      </c>
      <c r="AV350" s="32">
        <f>AW350+AX350</f>
        <v>0</v>
      </c>
      <c r="AW350" s="32">
        <f>G350*AO350</f>
        <v>0</v>
      </c>
      <c r="AX350" s="32">
        <f>G350*AP350</f>
        <v>0</v>
      </c>
      <c r="AY350" s="33" t="s">
        <v>872</v>
      </c>
      <c r="AZ350" s="33" t="s">
        <v>888</v>
      </c>
      <c r="BA350" s="28" t="s">
        <v>891</v>
      </c>
      <c r="BC350" s="32">
        <f>AW350+AX350</f>
        <v>0</v>
      </c>
      <c r="BD350" s="32">
        <f>H350/(100-BE350)*100</f>
        <v>0</v>
      </c>
      <c r="BE350" s="32">
        <v>0</v>
      </c>
      <c r="BF350" s="32">
        <f>350</f>
        <v>350</v>
      </c>
      <c r="BH350" s="17">
        <f>G350*AO350</f>
        <v>0</v>
      </c>
      <c r="BI350" s="17">
        <f>G350*AP350</f>
        <v>0</v>
      </c>
      <c r="BJ350" s="17">
        <f>G350*H350</f>
        <v>0</v>
      </c>
    </row>
    <row r="351" spans="1:62" x14ac:dyDescent="0.2">
      <c r="C351" s="57" t="s">
        <v>640</v>
      </c>
      <c r="D351" s="58"/>
      <c r="E351" s="58"/>
      <c r="G351" s="16">
        <v>1</v>
      </c>
    </row>
    <row r="352" spans="1:62" x14ac:dyDescent="0.2">
      <c r="A352" s="4" t="s">
        <v>103</v>
      </c>
      <c r="B352" s="4" t="s">
        <v>265</v>
      </c>
      <c r="C352" s="59" t="s">
        <v>641</v>
      </c>
      <c r="D352" s="60"/>
      <c r="E352" s="60"/>
      <c r="F352" s="4" t="s">
        <v>821</v>
      </c>
      <c r="G352" s="15">
        <v>12.6119</v>
      </c>
      <c r="H352" s="15">
        <v>0</v>
      </c>
      <c r="I352" s="15">
        <f>G352*AO352</f>
        <v>0</v>
      </c>
      <c r="J352" s="15">
        <f>G352*AP352</f>
        <v>0</v>
      </c>
      <c r="K352" s="15">
        <f>G352*H352</f>
        <v>0</v>
      </c>
      <c r="L352" s="27" t="s">
        <v>839</v>
      </c>
      <c r="Z352" s="32">
        <f>IF(AQ352="5",BJ352,0)</f>
        <v>0</v>
      </c>
      <c r="AB352" s="32">
        <f>IF(AQ352="1",BH352,0)</f>
        <v>0</v>
      </c>
      <c r="AC352" s="32">
        <f>IF(AQ352="1",BI352,0)</f>
        <v>0</v>
      </c>
      <c r="AD352" s="32">
        <f>IF(AQ352="7",BH352,0)</f>
        <v>0</v>
      </c>
      <c r="AE352" s="32">
        <f>IF(AQ352="7",BI352,0)</f>
        <v>0</v>
      </c>
      <c r="AF352" s="32">
        <f>IF(AQ352="2",BH352,0)</f>
        <v>0</v>
      </c>
      <c r="AG352" s="32">
        <f>IF(AQ352="2",BI352,0)</f>
        <v>0</v>
      </c>
      <c r="AH352" s="32">
        <f>IF(AQ352="0",BJ352,0)</f>
        <v>0</v>
      </c>
      <c r="AI352" s="28"/>
      <c r="AJ352" s="15">
        <f>IF(AN352=0,K352,0)</f>
        <v>0</v>
      </c>
      <c r="AK352" s="15">
        <f>IF(AN352=15,K352,0)</f>
        <v>0</v>
      </c>
      <c r="AL352" s="15">
        <f>IF(AN352=21,K352,0)</f>
        <v>0</v>
      </c>
      <c r="AN352" s="32">
        <v>21</v>
      </c>
      <c r="AO352" s="32">
        <f>H352*0</f>
        <v>0</v>
      </c>
      <c r="AP352" s="32">
        <f>H352*(1-0)</f>
        <v>0</v>
      </c>
      <c r="AQ352" s="27" t="s">
        <v>11</v>
      </c>
      <c r="AV352" s="32">
        <f>AW352+AX352</f>
        <v>0</v>
      </c>
      <c r="AW352" s="32">
        <f>G352*AO352</f>
        <v>0</v>
      </c>
      <c r="AX352" s="32">
        <f>G352*AP352</f>
        <v>0</v>
      </c>
      <c r="AY352" s="33" t="s">
        <v>872</v>
      </c>
      <c r="AZ352" s="33" t="s">
        <v>888</v>
      </c>
      <c r="BA352" s="28" t="s">
        <v>891</v>
      </c>
      <c r="BC352" s="32">
        <f>AW352+AX352</f>
        <v>0</v>
      </c>
      <c r="BD352" s="32">
        <f>H352/(100-BE352)*100</f>
        <v>0</v>
      </c>
      <c r="BE352" s="32">
        <v>0</v>
      </c>
      <c r="BF352" s="32">
        <f>352</f>
        <v>352</v>
      </c>
      <c r="BH352" s="15">
        <f>G352*AO352</f>
        <v>0</v>
      </c>
      <c r="BI352" s="15">
        <f>G352*AP352</f>
        <v>0</v>
      </c>
      <c r="BJ352" s="15">
        <f>G352*H352</f>
        <v>0</v>
      </c>
    </row>
    <row r="353" spans="1:62" x14ac:dyDescent="0.2">
      <c r="C353" s="57" t="s">
        <v>642</v>
      </c>
      <c r="D353" s="58"/>
      <c r="E353" s="58"/>
      <c r="G353" s="16">
        <v>12.6119</v>
      </c>
    </row>
    <row r="354" spans="1:62" x14ac:dyDescent="0.2">
      <c r="A354" s="5"/>
      <c r="B354" s="13" t="s">
        <v>266</v>
      </c>
      <c r="C354" s="65" t="s">
        <v>643</v>
      </c>
      <c r="D354" s="66"/>
      <c r="E354" s="66"/>
      <c r="F354" s="5" t="s">
        <v>6</v>
      </c>
      <c r="G354" s="5" t="s">
        <v>6</v>
      </c>
      <c r="H354" s="5" t="s">
        <v>6</v>
      </c>
      <c r="I354" s="35">
        <f>SUM(I355:I360)</f>
        <v>0</v>
      </c>
      <c r="J354" s="35">
        <f>SUM(J355:J360)</f>
        <v>0</v>
      </c>
      <c r="K354" s="35">
        <f>SUM(K355:K360)</f>
        <v>0</v>
      </c>
      <c r="L354" s="28"/>
      <c r="AI354" s="28"/>
      <c r="AS354" s="35">
        <f>SUM(AJ355:AJ360)</f>
        <v>0</v>
      </c>
      <c r="AT354" s="35">
        <f>SUM(AK355:AK360)</f>
        <v>0</v>
      </c>
      <c r="AU354" s="35">
        <f>SUM(AL355:AL360)</f>
        <v>0</v>
      </c>
    </row>
    <row r="355" spans="1:62" x14ac:dyDescent="0.2">
      <c r="A355" s="4" t="s">
        <v>104</v>
      </c>
      <c r="B355" s="4" t="s">
        <v>267</v>
      </c>
      <c r="C355" s="59" t="s">
        <v>644</v>
      </c>
      <c r="D355" s="60"/>
      <c r="E355" s="60"/>
      <c r="F355" s="4" t="s">
        <v>820</v>
      </c>
      <c r="G355" s="15">
        <v>1</v>
      </c>
      <c r="H355" s="15">
        <v>0</v>
      </c>
      <c r="I355" s="15">
        <f>G355*AO355</f>
        <v>0</v>
      </c>
      <c r="J355" s="15">
        <f>G355*AP355</f>
        <v>0</v>
      </c>
      <c r="K355" s="15">
        <f>G355*H355</f>
        <v>0</v>
      </c>
      <c r="L355" s="27"/>
      <c r="Z355" s="32">
        <f>IF(AQ355="5",BJ355,0)</f>
        <v>0</v>
      </c>
      <c r="AB355" s="32">
        <f>IF(AQ355="1",BH355,0)</f>
        <v>0</v>
      </c>
      <c r="AC355" s="32">
        <f>IF(AQ355="1",BI355,0)</f>
        <v>0</v>
      </c>
      <c r="AD355" s="32">
        <f>IF(AQ355="7",BH355,0)</f>
        <v>0</v>
      </c>
      <c r="AE355" s="32">
        <f>IF(AQ355="7",BI355,0)</f>
        <v>0</v>
      </c>
      <c r="AF355" s="32">
        <f>IF(AQ355="2",BH355,0)</f>
        <v>0</v>
      </c>
      <c r="AG355" s="32">
        <f>IF(AQ355="2",BI355,0)</f>
        <v>0</v>
      </c>
      <c r="AH355" s="32">
        <f>IF(AQ355="0",BJ355,0)</f>
        <v>0</v>
      </c>
      <c r="AI355" s="28"/>
      <c r="AJ355" s="15">
        <f>IF(AN355=0,K355,0)</f>
        <v>0</v>
      </c>
      <c r="AK355" s="15">
        <f>IF(AN355=15,K355,0)</f>
        <v>0</v>
      </c>
      <c r="AL355" s="15">
        <f>IF(AN355=21,K355,0)</f>
        <v>0</v>
      </c>
      <c r="AN355" s="32">
        <v>21</v>
      </c>
      <c r="AO355" s="32">
        <f>H355*0</f>
        <v>0</v>
      </c>
      <c r="AP355" s="32">
        <f>H355*(1-0)</f>
        <v>0</v>
      </c>
      <c r="AQ355" s="27" t="s">
        <v>13</v>
      </c>
      <c r="AV355" s="32">
        <f>AW355+AX355</f>
        <v>0</v>
      </c>
      <c r="AW355" s="32">
        <f>G355*AO355</f>
        <v>0</v>
      </c>
      <c r="AX355" s="32">
        <f>G355*AP355</f>
        <v>0</v>
      </c>
      <c r="AY355" s="33" t="s">
        <v>873</v>
      </c>
      <c r="AZ355" s="33" t="s">
        <v>888</v>
      </c>
      <c r="BA355" s="28" t="s">
        <v>891</v>
      </c>
      <c r="BC355" s="32">
        <f>AW355+AX355</f>
        <v>0</v>
      </c>
      <c r="BD355" s="32">
        <f>H355/(100-BE355)*100</f>
        <v>0</v>
      </c>
      <c r="BE355" s="32">
        <v>0</v>
      </c>
      <c r="BF355" s="32">
        <f>355</f>
        <v>355</v>
      </c>
      <c r="BH355" s="15">
        <f>G355*AO355</f>
        <v>0</v>
      </c>
      <c r="BI355" s="15">
        <f>G355*AP355</f>
        <v>0</v>
      </c>
      <c r="BJ355" s="15">
        <f>G355*H355</f>
        <v>0</v>
      </c>
    </row>
    <row r="356" spans="1:62" x14ac:dyDescent="0.2">
      <c r="C356" s="57" t="s">
        <v>645</v>
      </c>
      <c r="D356" s="58"/>
      <c r="E356" s="58"/>
      <c r="G356" s="16">
        <v>1</v>
      </c>
    </row>
    <row r="357" spans="1:62" x14ac:dyDescent="0.2">
      <c r="A357" s="4" t="s">
        <v>105</v>
      </c>
      <c r="B357" s="4" t="s">
        <v>268</v>
      </c>
      <c r="C357" s="59" t="s">
        <v>646</v>
      </c>
      <c r="D357" s="60"/>
      <c r="E357" s="60"/>
      <c r="F357" s="4" t="s">
        <v>820</v>
      </c>
      <c r="G357" s="15">
        <v>2</v>
      </c>
      <c r="H357" s="15">
        <v>0</v>
      </c>
      <c r="I357" s="15">
        <f>G357*AO357</f>
        <v>0</v>
      </c>
      <c r="J357" s="15">
        <f>G357*AP357</f>
        <v>0</v>
      </c>
      <c r="K357" s="15">
        <f>G357*H357</f>
        <v>0</v>
      </c>
      <c r="L357" s="27"/>
      <c r="Z357" s="32">
        <f>IF(AQ357="5",BJ357,0)</f>
        <v>0</v>
      </c>
      <c r="AB357" s="32">
        <f>IF(AQ357="1",BH357,0)</f>
        <v>0</v>
      </c>
      <c r="AC357" s="32">
        <f>IF(AQ357="1",BI357,0)</f>
        <v>0</v>
      </c>
      <c r="AD357" s="32">
        <f>IF(AQ357="7",BH357,0)</f>
        <v>0</v>
      </c>
      <c r="AE357" s="32">
        <f>IF(AQ357="7",BI357,0)</f>
        <v>0</v>
      </c>
      <c r="AF357" s="32">
        <f>IF(AQ357="2",BH357,0)</f>
        <v>0</v>
      </c>
      <c r="AG357" s="32">
        <f>IF(AQ357="2",BI357,0)</f>
        <v>0</v>
      </c>
      <c r="AH357" s="32">
        <f>IF(AQ357="0",BJ357,0)</f>
        <v>0</v>
      </c>
      <c r="AI357" s="28"/>
      <c r="AJ357" s="15">
        <f>IF(AN357=0,K357,0)</f>
        <v>0</v>
      </c>
      <c r="AK357" s="15">
        <f>IF(AN357=15,K357,0)</f>
        <v>0</v>
      </c>
      <c r="AL357" s="15">
        <f>IF(AN357=21,K357,0)</f>
        <v>0</v>
      </c>
      <c r="AN357" s="32">
        <v>21</v>
      </c>
      <c r="AO357" s="32">
        <f>H357*0.75</f>
        <v>0</v>
      </c>
      <c r="AP357" s="32">
        <f>H357*(1-0.75)</f>
        <v>0</v>
      </c>
      <c r="AQ357" s="27" t="s">
        <v>13</v>
      </c>
      <c r="AV357" s="32">
        <f>AW357+AX357</f>
        <v>0</v>
      </c>
      <c r="AW357" s="32">
        <f>G357*AO357</f>
        <v>0</v>
      </c>
      <c r="AX357" s="32">
        <f>G357*AP357</f>
        <v>0</v>
      </c>
      <c r="AY357" s="33" t="s">
        <v>873</v>
      </c>
      <c r="AZ357" s="33" t="s">
        <v>888</v>
      </c>
      <c r="BA357" s="28" t="s">
        <v>891</v>
      </c>
      <c r="BC357" s="32">
        <f>AW357+AX357</f>
        <v>0</v>
      </c>
      <c r="BD357" s="32">
        <f>H357/(100-BE357)*100</f>
        <v>0</v>
      </c>
      <c r="BE357" s="32">
        <v>0</v>
      </c>
      <c r="BF357" s="32">
        <f>357</f>
        <v>357</v>
      </c>
      <c r="BH357" s="15">
        <f>G357*AO357</f>
        <v>0</v>
      </c>
      <c r="BI357" s="15">
        <f>G357*AP357</f>
        <v>0</v>
      </c>
      <c r="BJ357" s="15">
        <f>G357*H357</f>
        <v>0</v>
      </c>
    </row>
    <row r="358" spans="1:62" x14ac:dyDescent="0.2">
      <c r="C358" s="57" t="s">
        <v>647</v>
      </c>
      <c r="D358" s="58"/>
      <c r="E358" s="58"/>
      <c r="G358" s="16">
        <v>1</v>
      </c>
    </row>
    <row r="359" spans="1:62" x14ac:dyDescent="0.2">
      <c r="C359" s="57" t="s">
        <v>648</v>
      </c>
      <c r="D359" s="58"/>
      <c r="E359" s="58"/>
      <c r="G359" s="16">
        <v>1</v>
      </c>
    </row>
    <row r="360" spans="1:62" x14ac:dyDescent="0.2">
      <c r="A360" s="4" t="s">
        <v>106</v>
      </c>
      <c r="B360" s="4" t="s">
        <v>269</v>
      </c>
      <c r="C360" s="59" t="s">
        <v>649</v>
      </c>
      <c r="D360" s="60"/>
      <c r="E360" s="60"/>
      <c r="F360" s="4" t="s">
        <v>821</v>
      </c>
      <c r="G360" s="15">
        <v>0.1</v>
      </c>
      <c r="H360" s="15">
        <v>0</v>
      </c>
      <c r="I360" s="15">
        <f>G360*AO360</f>
        <v>0</v>
      </c>
      <c r="J360" s="15">
        <f>G360*AP360</f>
        <v>0</v>
      </c>
      <c r="K360" s="15">
        <f>G360*H360</f>
        <v>0</v>
      </c>
      <c r="L360" s="27" t="s">
        <v>839</v>
      </c>
      <c r="Z360" s="32">
        <f>IF(AQ360="5",BJ360,0)</f>
        <v>0</v>
      </c>
      <c r="AB360" s="32">
        <f>IF(AQ360="1",BH360,0)</f>
        <v>0</v>
      </c>
      <c r="AC360" s="32">
        <f>IF(AQ360="1",BI360,0)</f>
        <v>0</v>
      </c>
      <c r="AD360" s="32">
        <f>IF(AQ360="7",BH360,0)</f>
        <v>0</v>
      </c>
      <c r="AE360" s="32">
        <f>IF(AQ360="7",BI360,0)</f>
        <v>0</v>
      </c>
      <c r="AF360" s="32">
        <f>IF(AQ360="2",BH360,0)</f>
        <v>0</v>
      </c>
      <c r="AG360" s="32">
        <f>IF(AQ360="2",BI360,0)</f>
        <v>0</v>
      </c>
      <c r="AH360" s="32">
        <f>IF(AQ360="0",BJ360,0)</f>
        <v>0</v>
      </c>
      <c r="AI360" s="28"/>
      <c r="AJ360" s="15">
        <f>IF(AN360=0,K360,0)</f>
        <v>0</v>
      </c>
      <c r="AK360" s="15">
        <f>IF(AN360=15,K360,0)</f>
        <v>0</v>
      </c>
      <c r="AL360" s="15">
        <f>IF(AN360=21,K360,0)</f>
        <v>0</v>
      </c>
      <c r="AN360" s="32">
        <v>21</v>
      </c>
      <c r="AO360" s="32">
        <f>H360*0</f>
        <v>0</v>
      </c>
      <c r="AP360" s="32">
        <f>H360*(1-0)</f>
        <v>0</v>
      </c>
      <c r="AQ360" s="27" t="s">
        <v>11</v>
      </c>
      <c r="AV360" s="32">
        <f>AW360+AX360</f>
        <v>0</v>
      </c>
      <c r="AW360" s="32">
        <f>G360*AO360</f>
        <v>0</v>
      </c>
      <c r="AX360" s="32">
        <f>G360*AP360</f>
        <v>0</v>
      </c>
      <c r="AY360" s="33" t="s">
        <v>873</v>
      </c>
      <c r="AZ360" s="33" t="s">
        <v>888</v>
      </c>
      <c r="BA360" s="28" t="s">
        <v>891</v>
      </c>
      <c r="BC360" s="32">
        <f>AW360+AX360</f>
        <v>0</v>
      </c>
      <c r="BD360" s="32">
        <f>H360/(100-BE360)*100</f>
        <v>0</v>
      </c>
      <c r="BE360" s="32">
        <v>0</v>
      </c>
      <c r="BF360" s="32">
        <f>360</f>
        <v>360</v>
      </c>
      <c r="BH360" s="15">
        <f>G360*AO360</f>
        <v>0</v>
      </c>
      <c r="BI360" s="15">
        <f>G360*AP360</f>
        <v>0</v>
      </c>
      <c r="BJ360" s="15">
        <f>G360*H360</f>
        <v>0</v>
      </c>
    </row>
    <row r="361" spans="1:62" x14ac:dyDescent="0.2">
      <c r="C361" s="57" t="s">
        <v>650</v>
      </c>
      <c r="D361" s="58"/>
      <c r="E361" s="58"/>
      <c r="G361" s="16">
        <v>0.1</v>
      </c>
    </row>
    <row r="362" spans="1:62" x14ac:dyDescent="0.2">
      <c r="A362" s="5"/>
      <c r="B362" s="13" t="s">
        <v>270</v>
      </c>
      <c r="C362" s="65" t="s">
        <v>651</v>
      </c>
      <c r="D362" s="66"/>
      <c r="E362" s="66"/>
      <c r="F362" s="5" t="s">
        <v>6</v>
      </c>
      <c r="G362" s="5" t="s">
        <v>6</v>
      </c>
      <c r="H362" s="5" t="s">
        <v>6</v>
      </c>
      <c r="I362" s="35">
        <f>SUM(I363:I365)</f>
        <v>0</v>
      </c>
      <c r="J362" s="35">
        <f>SUM(J363:J365)</f>
        <v>0</v>
      </c>
      <c r="K362" s="35">
        <f>SUM(K363:K365)</f>
        <v>0</v>
      </c>
      <c r="L362" s="28"/>
      <c r="AI362" s="28"/>
      <c r="AS362" s="35">
        <f>SUM(AJ363:AJ365)</f>
        <v>0</v>
      </c>
      <c r="AT362" s="35">
        <f>SUM(AK363:AK365)</f>
        <v>0</v>
      </c>
      <c r="AU362" s="35">
        <f>SUM(AL363:AL365)</f>
        <v>0</v>
      </c>
    </row>
    <row r="363" spans="1:62" x14ac:dyDescent="0.2">
      <c r="A363" s="4" t="s">
        <v>107</v>
      </c>
      <c r="B363" s="4" t="s">
        <v>271</v>
      </c>
      <c r="C363" s="59" t="s">
        <v>652</v>
      </c>
      <c r="D363" s="60"/>
      <c r="E363" s="60"/>
      <c r="F363" s="4" t="s">
        <v>817</v>
      </c>
      <c r="G363" s="15">
        <v>317.5</v>
      </c>
      <c r="H363" s="15">
        <v>0</v>
      </c>
      <c r="I363" s="15">
        <f>G363*AO363</f>
        <v>0</v>
      </c>
      <c r="J363" s="15">
        <f>G363*AP363</f>
        <v>0</v>
      </c>
      <c r="K363" s="15">
        <f>G363*H363</f>
        <v>0</v>
      </c>
      <c r="L363" s="27" t="s">
        <v>839</v>
      </c>
      <c r="Z363" s="32">
        <f>IF(AQ363="5",BJ363,0)</f>
        <v>0</v>
      </c>
      <c r="AB363" s="32">
        <f>IF(AQ363="1",BH363,0)</f>
        <v>0</v>
      </c>
      <c r="AC363" s="32">
        <f>IF(AQ363="1",BI363,0)</f>
        <v>0</v>
      </c>
      <c r="AD363" s="32">
        <f>IF(AQ363="7",BH363,0)</f>
        <v>0</v>
      </c>
      <c r="AE363" s="32">
        <f>IF(AQ363="7",BI363,0)</f>
        <v>0</v>
      </c>
      <c r="AF363" s="32">
        <f>IF(AQ363="2",BH363,0)</f>
        <v>0</v>
      </c>
      <c r="AG363" s="32">
        <f>IF(AQ363="2",BI363,0)</f>
        <v>0</v>
      </c>
      <c r="AH363" s="32">
        <f>IF(AQ363="0",BJ363,0)</f>
        <v>0</v>
      </c>
      <c r="AI363" s="28"/>
      <c r="AJ363" s="15">
        <f>IF(AN363=0,K363,0)</f>
        <v>0</v>
      </c>
      <c r="AK363" s="15">
        <f>IF(AN363=15,K363,0)</f>
        <v>0</v>
      </c>
      <c r="AL363" s="15">
        <f>IF(AN363=21,K363,0)</f>
        <v>0</v>
      </c>
      <c r="AN363" s="32">
        <v>21</v>
      </c>
      <c r="AO363" s="32">
        <f>H363*0.0673956262425447</f>
        <v>0</v>
      </c>
      <c r="AP363" s="32">
        <f>H363*(1-0.0673956262425447)</f>
        <v>0</v>
      </c>
      <c r="AQ363" s="27" t="s">
        <v>13</v>
      </c>
      <c r="AV363" s="32">
        <f>AW363+AX363</f>
        <v>0</v>
      </c>
      <c r="AW363" s="32">
        <f>G363*AO363</f>
        <v>0</v>
      </c>
      <c r="AX363" s="32">
        <f>G363*AP363</f>
        <v>0</v>
      </c>
      <c r="AY363" s="33" t="s">
        <v>874</v>
      </c>
      <c r="AZ363" s="33" t="s">
        <v>889</v>
      </c>
      <c r="BA363" s="28" t="s">
        <v>891</v>
      </c>
      <c r="BC363" s="32">
        <f>AW363+AX363</f>
        <v>0</v>
      </c>
      <c r="BD363" s="32">
        <f>H363/(100-BE363)*100</f>
        <v>0</v>
      </c>
      <c r="BE363" s="32">
        <v>0</v>
      </c>
      <c r="BF363" s="32">
        <f>363</f>
        <v>363</v>
      </c>
      <c r="BH363" s="15">
        <f>G363*AO363</f>
        <v>0</v>
      </c>
      <c r="BI363" s="15">
        <f>G363*AP363</f>
        <v>0</v>
      </c>
      <c r="BJ363" s="15">
        <f>G363*H363</f>
        <v>0</v>
      </c>
    </row>
    <row r="364" spans="1:62" x14ac:dyDescent="0.2">
      <c r="C364" s="57" t="s">
        <v>653</v>
      </c>
      <c r="D364" s="58"/>
      <c r="E364" s="58"/>
      <c r="G364" s="16">
        <v>317.5</v>
      </c>
    </row>
    <row r="365" spans="1:62" x14ac:dyDescent="0.2">
      <c r="A365" s="4" t="s">
        <v>108</v>
      </c>
      <c r="B365" s="4" t="s">
        <v>272</v>
      </c>
      <c r="C365" s="59" t="s">
        <v>654</v>
      </c>
      <c r="D365" s="60"/>
      <c r="E365" s="60"/>
      <c r="F365" s="4" t="s">
        <v>817</v>
      </c>
      <c r="G365" s="15">
        <v>68.459999999999994</v>
      </c>
      <c r="H365" s="15">
        <v>0</v>
      </c>
      <c r="I365" s="15">
        <f>G365*AO365</f>
        <v>0</v>
      </c>
      <c r="J365" s="15">
        <f>G365*AP365</f>
        <v>0</v>
      </c>
      <c r="K365" s="15">
        <f>G365*H365</f>
        <v>0</v>
      </c>
      <c r="L365" s="27" t="s">
        <v>839</v>
      </c>
      <c r="Z365" s="32">
        <f>IF(AQ365="5",BJ365,0)</f>
        <v>0</v>
      </c>
      <c r="AB365" s="32">
        <f>IF(AQ365="1",BH365,0)</f>
        <v>0</v>
      </c>
      <c r="AC365" s="32">
        <f>IF(AQ365="1",BI365,0)</f>
        <v>0</v>
      </c>
      <c r="AD365" s="32">
        <f>IF(AQ365="7",BH365,0)</f>
        <v>0</v>
      </c>
      <c r="AE365" s="32">
        <f>IF(AQ365="7",BI365,0)</f>
        <v>0</v>
      </c>
      <c r="AF365" s="32">
        <f>IF(AQ365="2",BH365,0)</f>
        <v>0</v>
      </c>
      <c r="AG365" s="32">
        <f>IF(AQ365="2",BI365,0)</f>
        <v>0</v>
      </c>
      <c r="AH365" s="32">
        <f>IF(AQ365="0",BJ365,0)</f>
        <v>0</v>
      </c>
      <c r="AI365" s="28"/>
      <c r="AJ365" s="15">
        <f>IF(AN365=0,K365,0)</f>
        <v>0</v>
      </c>
      <c r="AK365" s="15">
        <f>IF(AN365=15,K365,0)</f>
        <v>0</v>
      </c>
      <c r="AL365" s="15">
        <f>IF(AN365=21,K365,0)</f>
        <v>0</v>
      </c>
      <c r="AN365" s="32">
        <v>21</v>
      </c>
      <c r="AO365" s="32">
        <f>H365*0.174902909319042</f>
        <v>0</v>
      </c>
      <c r="AP365" s="32">
        <f>H365*(1-0.174902909319042)</f>
        <v>0</v>
      </c>
      <c r="AQ365" s="27" t="s">
        <v>13</v>
      </c>
      <c r="AV365" s="32">
        <f>AW365+AX365</f>
        <v>0</v>
      </c>
      <c r="AW365" s="32">
        <f>G365*AO365</f>
        <v>0</v>
      </c>
      <c r="AX365" s="32">
        <f>G365*AP365</f>
        <v>0</v>
      </c>
      <c r="AY365" s="33" t="s">
        <v>874</v>
      </c>
      <c r="AZ365" s="33" t="s">
        <v>889</v>
      </c>
      <c r="BA365" s="28" t="s">
        <v>891</v>
      </c>
      <c r="BC365" s="32">
        <f>AW365+AX365</f>
        <v>0</v>
      </c>
      <c r="BD365" s="32">
        <f>H365/(100-BE365)*100</f>
        <v>0</v>
      </c>
      <c r="BE365" s="32">
        <v>0</v>
      </c>
      <c r="BF365" s="32">
        <f>365</f>
        <v>365</v>
      </c>
      <c r="BH365" s="15">
        <f>G365*AO365</f>
        <v>0</v>
      </c>
      <c r="BI365" s="15">
        <f>G365*AP365</f>
        <v>0</v>
      </c>
      <c r="BJ365" s="15">
        <f>G365*H365</f>
        <v>0</v>
      </c>
    </row>
    <row r="366" spans="1:62" x14ac:dyDescent="0.2">
      <c r="C366" s="57" t="s">
        <v>655</v>
      </c>
      <c r="D366" s="58"/>
      <c r="E366" s="58"/>
      <c r="G366" s="16">
        <v>27.614999999999998</v>
      </c>
    </row>
    <row r="367" spans="1:62" x14ac:dyDescent="0.2">
      <c r="C367" s="57" t="s">
        <v>656</v>
      </c>
      <c r="D367" s="58"/>
      <c r="E367" s="58"/>
      <c r="G367" s="16">
        <v>9.9</v>
      </c>
    </row>
    <row r="368" spans="1:62" x14ac:dyDescent="0.2">
      <c r="C368" s="57" t="s">
        <v>657</v>
      </c>
      <c r="D368" s="58"/>
      <c r="E368" s="58"/>
      <c r="G368" s="16">
        <v>4.5</v>
      </c>
    </row>
    <row r="369" spans="1:62" x14ac:dyDescent="0.2">
      <c r="C369" s="57" t="s">
        <v>658</v>
      </c>
      <c r="D369" s="58"/>
      <c r="E369" s="58"/>
      <c r="G369" s="16">
        <v>5.28</v>
      </c>
    </row>
    <row r="370" spans="1:62" x14ac:dyDescent="0.2">
      <c r="C370" s="57" t="s">
        <v>659</v>
      </c>
      <c r="D370" s="58"/>
      <c r="E370" s="58"/>
      <c r="G370" s="16">
        <v>0</v>
      </c>
    </row>
    <row r="371" spans="1:62" x14ac:dyDescent="0.2">
      <c r="C371" s="57" t="s">
        <v>656</v>
      </c>
      <c r="D371" s="58"/>
      <c r="E371" s="58"/>
      <c r="G371" s="16">
        <v>9.9</v>
      </c>
    </row>
    <row r="372" spans="1:62" x14ac:dyDescent="0.2">
      <c r="C372" s="57" t="s">
        <v>660</v>
      </c>
      <c r="D372" s="58"/>
      <c r="E372" s="58"/>
      <c r="G372" s="16">
        <v>6.7649999999999997</v>
      </c>
    </row>
    <row r="373" spans="1:62" x14ac:dyDescent="0.2">
      <c r="C373" s="57" t="s">
        <v>657</v>
      </c>
      <c r="D373" s="58"/>
      <c r="E373" s="58"/>
      <c r="G373" s="16">
        <v>4.5</v>
      </c>
    </row>
    <row r="374" spans="1:62" x14ac:dyDescent="0.2">
      <c r="C374" s="57" t="s">
        <v>661</v>
      </c>
      <c r="D374" s="58"/>
      <c r="E374" s="58"/>
      <c r="G374" s="16">
        <v>0</v>
      </c>
    </row>
    <row r="375" spans="1:62" x14ac:dyDescent="0.2">
      <c r="A375" s="5"/>
      <c r="B375" s="13" t="s">
        <v>273</v>
      </c>
      <c r="C375" s="65" t="s">
        <v>662</v>
      </c>
      <c r="D375" s="66"/>
      <c r="E375" s="66"/>
      <c r="F375" s="5" t="s">
        <v>6</v>
      </c>
      <c r="G375" s="5" t="s">
        <v>6</v>
      </c>
      <c r="H375" s="5" t="s">
        <v>6</v>
      </c>
      <c r="I375" s="35">
        <f>SUM(I376:I376)</f>
        <v>0</v>
      </c>
      <c r="J375" s="35">
        <f>SUM(J376:J376)</f>
        <v>0</v>
      </c>
      <c r="K375" s="35">
        <f>SUM(K376:K376)</f>
        <v>0</v>
      </c>
      <c r="L375" s="28"/>
      <c r="AI375" s="28"/>
      <c r="AS375" s="35">
        <f>SUM(AJ376:AJ376)</f>
        <v>0</v>
      </c>
      <c r="AT375" s="35">
        <f>SUM(AK376:AK376)</f>
        <v>0</v>
      </c>
      <c r="AU375" s="35">
        <f>SUM(AL376:AL376)</f>
        <v>0</v>
      </c>
    </row>
    <row r="376" spans="1:62" x14ac:dyDescent="0.2">
      <c r="A376" s="4" t="s">
        <v>109</v>
      </c>
      <c r="B376" s="4" t="s">
        <v>274</v>
      </c>
      <c r="C376" s="59" t="s">
        <v>663</v>
      </c>
      <c r="D376" s="60"/>
      <c r="E376" s="60"/>
      <c r="F376" s="4" t="s">
        <v>817</v>
      </c>
      <c r="G376" s="15">
        <v>113.04</v>
      </c>
      <c r="H376" s="15">
        <v>0</v>
      </c>
      <c r="I376" s="15">
        <f>G376*AO376</f>
        <v>0</v>
      </c>
      <c r="J376" s="15">
        <f>G376*AP376</f>
        <v>0</v>
      </c>
      <c r="K376" s="15">
        <f>G376*H376</f>
        <v>0</v>
      </c>
      <c r="L376" s="27"/>
      <c r="Z376" s="32">
        <f>IF(AQ376="5",BJ376,0)</f>
        <v>0</v>
      </c>
      <c r="AB376" s="32">
        <f>IF(AQ376="1",BH376,0)</f>
        <v>0</v>
      </c>
      <c r="AC376" s="32">
        <f>IF(AQ376="1",BI376,0)</f>
        <v>0</v>
      </c>
      <c r="AD376" s="32">
        <f>IF(AQ376="7",BH376,0)</f>
        <v>0</v>
      </c>
      <c r="AE376" s="32">
        <f>IF(AQ376="7",BI376,0)</f>
        <v>0</v>
      </c>
      <c r="AF376" s="32">
        <f>IF(AQ376="2",BH376,0)</f>
        <v>0</v>
      </c>
      <c r="AG376" s="32">
        <f>IF(AQ376="2",BI376,0)</f>
        <v>0</v>
      </c>
      <c r="AH376" s="32">
        <f>IF(AQ376="0",BJ376,0)</f>
        <v>0</v>
      </c>
      <c r="AI376" s="28"/>
      <c r="AJ376" s="15">
        <f>IF(AN376=0,K376,0)</f>
        <v>0</v>
      </c>
      <c r="AK376" s="15">
        <f>IF(AN376=15,K376,0)</f>
        <v>0</v>
      </c>
      <c r="AL376" s="15">
        <f>IF(AN376=21,K376,0)</f>
        <v>0</v>
      </c>
      <c r="AN376" s="32">
        <v>21</v>
      </c>
      <c r="AO376" s="32">
        <f>H376*0.75</f>
        <v>0</v>
      </c>
      <c r="AP376" s="32">
        <f>H376*(1-0.75)</f>
        <v>0</v>
      </c>
      <c r="AQ376" s="27" t="s">
        <v>13</v>
      </c>
      <c r="AV376" s="32">
        <f>AW376+AX376</f>
        <v>0</v>
      </c>
      <c r="AW376" s="32">
        <f>G376*AO376</f>
        <v>0</v>
      </c>
      <c r="AX376" s="32">
        <f>G376*AP376</f>
        <v>0</v>
      </c>
      <c r="AY376" s="33" t="s">
        <v>875</v>
      </c>
      <c r="AZ376" s="33" t="s">
        <v>889</v>
      </c>
      <c r="BA376" s="28" t="s">
        <v>891</v>
      </c>
      <c r="BC376" s="32">
        <f>AW376+AX376</f>
        <v>0</v>
      </c>
      <c r="BD376" s="32">
        <f>H376/(100-BE376)*100</f>
        <v>0</v>
      </c>
      <c r="BE376" s="32">
        <v>0</v>
      </c>
      <c r="BF376" s="32">
        <f>376</f>
        <v>376</v>
      </c>
      <c r="BH376" s="15">
        <f>G376*AO376</f>
        <v>0</v>
      </c>
      <c r="BI376" s="15">
        <f>G376*AP376</f>
        <v>0</v>
      </c>
      <c r="BJ376" s="15">
        <f>G376*H376</f>
        <v>0</v>
      </c>
    </row>
    <row r="377" spans="1:62" x14ac:dyDescent="0.2">
      <c r="C377" s="57" t="s">
        <v>664</v>
      </c>
      <c r="D377" s="58"/>
      <c r="E377" s="58"/>
      <c r="G377" s="16">
        <v>69.12</v>
      </c>
    </row>
    <row r="378" spans="1:62" x14ac:dyDescent="0.2">
      <c r="C378" s="57" t="s">
        <v>665</v>
      </c>
      <c r="D378" s="58"/>
      <c r="E378" s="58"/>
      <c r="G378" s="16">
        <v>15.12</v>
      </c>
    </row>
    <row r="379" spans="1:62" x14ac:dyDescent="0.2">
      <c r="C379" s="57" t="s">
        <v>666</v>
      </c>
      <c r="D379" s="58"/>
      <c r="E379" s="58"/>
      <c r="G379" s="16">
        <v>28.8</v>
      </c>
    </row>
    <row r="380" spans="1:62" x14ac:dyDescent="0.2">
      <c r="A380" s="5"/>
      <c r="B380" s="13" t="s">
        <v>99</v>
      </c>
      <c r="C380" s="65" t="s">
        <v>667</v>
      </c>
      <c r="D380" s="66"/>
      <c r="E380" s="66"/>
      <c r="F380" s="5" t="s">
        <v>6</v>
      </c>
      <c r="G380" s="5" t="s">
        <v>6</v>
      </c>
      <c r="H380" s="5" t="s">
        <v>6</v>
      </c>
      <c r="I380" s="35">
        <f>SUM(I381:I400)</f>
        <v>0</v>
      </c>
      <c r="J380" s="35">
        <f>SUM(J381:J400)</f>
        <v>0</v>
      </c>
      <c r="K380" s="35">
        <f>SUM(K381:K400)</f>
        <v>0</v>
      </c>
      <c r="L380" s="28"/>
      <c r="AI380" s="28"/>
      <c r="AS380" s="35">
        <f>SUM(AJ381:AJ400)</f>
        <v>0</v>
      </c>
      <c r="AT380" s="35">
        <f>SUM(AK381:AK400)</f>
        <v>0</v>
      </c>
      <c r="AU380" s="35">
        <f>SUM(AL381:AL400)</f>
        <v>0</v>
      </c>
    </row>
    <row r="381" spans="1:62" x14ac:dyDescent="0.2">
      <c r="A381" s="4" t="s">
        <v>110</v>
      </c>
      <c r="B381" s="4" t="s">
        <v>275</v>
      </c>
      <c r="C381" s="59" t="s">
        <v>668</v>
      </c>
      <c r="D381" s="60"/>
      <c r="E381" s="60"/>
      <c r="F381" s="4" t="s">
        <v>817</v>
      </c>
      <c r="G381" s="15">
        <v>2142.8000000000002</v>
      </c>
      <c r="H381" s="15">
        <v>0</v>
      </c>
      <c r="I381" s="15">
        <f>G381*AO381</f>
        <v>0</v>
      </c>
      <c r="J381" s="15">
        <f>G381*AP381</f>
        <v>0</v>
      </c>
      <c r="K381" s="15">
        <f>G381*H381</f>
        <v>0</v>
      </c>
      <c r="L381" s="27" t="s">
        <v>839</v>
      </c>
      <c r="Z381" s="32">
        <f>IF(AQ381="5",BJ381,0)</f>
        <v>0</v>
      </c>
      <c r="AB381" s="32">
        <f>IF(AQ381="1",BH381,0)</f>
        <v>0</v>
      </c>
      <c r="AC381" s="32">
        <f>IF(AQ381="1",BI381,0)</f>
        <v>0</v>
      </c>
      <c r="AD381" s="32">
        <f>IF(AQ381="7",BH381,0)</f>
        <v>0</v>
      </c>
      <c r="AE381" s="32">
        <f>IF(AQ381="7",BI381,0)</f>
        <v>0</v>
      </c>
      <c r="AF381" s="32">
        <f>IF(AQ381="2",BH381,0)</f>
        <v>0</v>
      </c>
      <c r="AG381" s="32">
        <f>IF(AQ381="2",BI381,0)</f>
        <v>0</v>
      </c>
      <c r="AH381" s="32">
        <f>IF(AQ381="0",BJ381,0)</f>
        <v>0</v>
      </c>
      <c r="AI381" s="28"/>
      <c r="AJ381" s="15">
        <f>IF(AN381=0,K381,0)</f>
        <v>0</v>
      </c>
      <c r="AK381" s="15">
        <f>IF(AN381=15,K381,0)</f>
        <v>0</v>
      </c>
      <c r="AL381" s="15">
        <f>IF(AN381=21,K381,0)</f>
        <v>0</v>
      </c>
      <c r="AN381" s="32">
        <v>21</v>
      </c>
      <c r="AO381" s="32">
        <f>H381*0.000137193032350806</f>
        <v>0</v>
      </c>
      <c r="AP381" s="32">
        <f>H381*(1-0.000137193032350806)</f>
        <v>0</v>
      </c>
      <c r="AQ381" s="27" t="s">
        <v>7</v>
      </c>
      <c r="AV381" s="32">
        <f>AW381+AX381</f>
        <v>0</v>
      </c>
      <c r="AW381" s="32">
        <f>G381*AO381</f>
        <v>0</v>
      </c>
      <c r="AX381" s="32">
        <f>G381*AP381</f>
        <v>0</v>
      </c>
      <c r="AY381" s="33" t="s">
        <v>876</v>
      </c>
      <c r="AZ381" s="33" t="s">
        <v>890</v>
      </c>
      <c r="BA381" s="28" t="s">
        <v>891</v>
      </c>
      <c r="BC381" s="32">
        <f>AW381+AX381</f>
        <v>0</v>
      </c>
      <c r="BD381" s="32">
        <f>H381/(100-BE381)*100</f>
        <v>0</v>
      </c>
      <c r="BE381" s="32">
        <v>0</v>
      </c>
      <c r="BF381" s="32">
        <f>381</f>
        <v>381</v>
      </c>
      <c r="BH381" s="15">
        <f>G381*AO381</f>
        <v>0</v>
      </c>
      <c r="BI381" s="15">
        <f>G381*AP381</f>
        <v>0</v>
      </c>
      <c r="BJ381" s="15">
        <f>G381*H381</f>
        <v>0</v>
      </c>
    </row>
    <row r="382" spans="1:62" x14ac:dyDescent="0.2">
      <c r="C382" s="57" t="s">
        <v>669</v>
      </c>
      <c r="D382" s="58"/>
      <c r="E382" s="58"/>
      <c r="G382" s="16">
        <v>967</v>
      </c>
    </row>
    <row r="383" spans="1:62" x14ac:dyDescent="0.2">
      <c r="C383" s="57" t="s">
        <v>670</v>
      </c>
      <c r="D383" s="58"/>
      <c r="E383" s="58"/>
      <c r="G383" s="16">
        <v>587</v>
      </c>
    </row>
    <row r="384" spans="1:62" x14ac:dyDescent="0.2">
      <c r="C384" s="57" t="s">
        <v>671</v>
      </c>
      <c r="D384" s="58"/>
      <c r="E384" s="58"/>
      <c r="G384" s="16">
        <v>500</v>
      </c>
    </row>
    <row r="385" spans="1:62" x14ac:dyDescent="0.2">
      <c r="C385" s="57" t="s">
        <v>672</v>
      </c>
      <c r="D385" s="58"/>
      <c r="E385" s="58"/>
      <c r="G385" s="16">
        <v>88.8</v>
      </c>
    </row>
    <row r="386" spans="1:62" x14ac:dyDescent="0.2">
      <c r="A386" s="4" t="s">
        <v>111</v>
      </c>
      <c r="B386" s="4" t="s">
        <v>276</v>
      </c>
      <c r="C386" s="59" t="s">
        <v>673</v>
      </c>
      <c r="D386" s="60"/>
      <c r="E386" s="60"/>
      <c r="F386" s="4" t="s">
        <v>817</v>
      </c>
      <c r="G386" s="15">
        <v>4285.6000000000004</v>
      </c>
      <c r="H386" s="15">
        <v>0</v>
      </c>
      <c r="I386" s="15">
        <f>G386*AO386</f>
        <v>0</v>
      </c>
      <c r="J386" s="15">
        <f>G386*AP386</f>
        <v>0</v>
      </c>
      <c r="K386" s="15">
        <f>G386*H386</f>
        <v>0</v>
      </c>
      <c r="L386" s="27" t="s">
        <v>839</v>
      </c>
      <c r="Z386" s="32">
        <f>IF(AQ386="5",BJ386,0)</f>
        <v>0</v>
      </c>
      <c r="AB386" s="32">
        <f>IF(AQ386="1",BH386,0)</f>
        <v>0</v>
      </c>
      <c r="AC386" s="32">
        <f>IF(AQ386="1",BI386,0)</f>
        <v>0</v>
      </c>
      <c r="AD386" s="32">
        <f>IF(AQ386="7",BH386,0)</f>
        <v>0</v>
      </c>
      <c r="AE386" s="32">
        <f>IF(AQ386="7",BI386,0)</f>
        <v>0</v>
      </c>
      <c r="AF386" s="32">
        <f>IF(AQ386="2",BH386,0)</f>
        <v>0</v>
      </c>
      <c r="AG386" s="32">
        <f>IF(AQ386="2",BI386,0)</f>
        <v>0</v>
      </c>
      <c r="AH386" s="32">
        <f>IF(AQ386="0",BJ386,0)</f>
        <v>0</v>
      </c>
      <c r="AI386" s="28"/>
      <c r="AJ386" s="15">
        <f>IF(AN386=0,K386,0)</f>
        <v>0</v>
      </c>
      <c r="AK386" s="15">
        <f>IF(AN386=15,K386,0)</f>
        <v>0</v>
      </c>
      <c r="AL386" s="15">
        <f>IF(AN386=21,K386,0)</f>
        <v>0</v>
      </c>
      <c r="AN386" s="32">
        <v>21</v>
      </c>
      <c r="AO386" s="32">
        <f>H386*0.902830188679245</f>
        <v>0</v>
      </c>
      <c r="AP386" s="32">
        <f>H386*(1-0.902830188679245)</f>
        <v>0</v>
      </c>
      <c r="AQ386" s="27" t="s">
        <v>7</v>
      </c>
      <c r="AV386" s="32">
        <f>AW386+AX386</f>
        <v>0</v>
      </c>
      <c r="AW386" s="32">
        <f>G386*AO386</f>
        <v>0</v>
      </c>
      <c r="AX386" s="32">
        <f>G386*AP386</f>
        <v>0</v>
      </c>
      <c r="AY386" s="33" t="s">
        <v>876</v>
      </c>
      <c r="AZ386" s="33" t="s">
        <v>890</v>
      </c>
      <c r="BA386" s="28" t="s">
        <v>891</v>
      </c>
      <c r="BC386" s="32">
        <f>AW386+AX386</f>
        <v>0</v>
      </c>
      <c r="BD386" s="32">
        <f>H386/(100-BE386)*100</f>
        <v>0</v>
      </c>
      <c r="BE386" s="32">
        <v>0</v>
      </c>
      <c r="BF386" s="32">
        <f>386</f>
        <v>386</v>
      </c>
      <c r="BH386" s="15">
        <f>G386*AO386</f>
        <v>0</v>
      </c>
      <c r="BI386" s="15">
        <f>G386*AP386</f>
        <v>0</v>
      </c>
      <c r="BJ386" s="15">
        <f>G386*H386</f>
        <v>0</v>
      </c>
    </row>
    <row r="387" spans="1:62" x14ac:dyDescent="0.2">
      <c r="C387" s="57" t="s">
        <v>674</v>
      </c>
      <c r="D387" s="58"/>
      <c r="E387" s="58"/>
      <c r="G387" s="16">
        <v>4285.6000000000004</v>
      </c>
    </row>
    <row r="388" spans="1:62" x14ac:dyDescent="0.2">
      <c r="A388" s="4" t="s">
        <v>112</v>
      </c>
      <c r="B388" s="4" t="s">
        <v>277</v>
      </c>
      <c r="C388" s="59" t="s">
        <v>675</v>
      </c>
      <c r="D388" s="60"/>
      <c r="E388" s="60"/>
      <c r="F388" s="4" t="s">
        <v>817</v>
      </c>
      <c r="G388" s="15">
        <v>2142.8000000000002</v>
      </c>
      <c r="H388" s="15">
        <v>0</v>
      </c>
      <c r="I388" s="15">
        <f>G388*AO388</f>
        <v>0</v>
      </c>
      <c r="J388" s="15">
        <f>G388*AP388</f>
        <v>0</v>
      </c>
      <c r="K388" s="15">
        <f>G388*H388</f>
        <v>0</v>
      </c>
      <c r="L388" s="27" t="s">
        <v>839</v>
      </c>
      <c r="Z388" s="32">
        <f>IF(AQ388="5",BJ388,0)</f>
        <v>0</v>
      </c>
      <c r="AB388" s="32">
        <f>IF(AQ388="1",BH388,0)</f>
        <v>0</v>
      </c>
      <c r="AC388" s="32">
        <f>IF(AQ388="1",BI388,0)</f>
        <v>0</v>
      </c>
      <c r="AD388" s="32">
        <f>IF(AQ388="7",BH388,0)</f>
        <v>0</v>
      </c>
      <c r="AE388" s="32">
        <f>IF(AQ388="7",BI388,0)</f>
        <v>0</v>
      </c>
      <c r="AF388" s="32">
        <f>IF(AQ388="2",BH388,0)</f>
        <v>0</v>
      </c>
      <c r="AG388" s="32">
        <f>IF(AQ388="2",BI388,0)</f>
        <v>0</v>
      </c>
      <c r="AH388" s="32">
        <f>IF(AQ388="0",BJ388,0)</f>
        <v>0</v>
      </c>
      <c r="AI388" s="28"/>
      <c r="AJ388" s="15">
        <f>IF(AN388=0,K388,0)</f>
        <v>0</v>
      </c>
      <c r="AK388" s="15">
        <f>IF(AN388=15,K388,0)</f>
        <v>0</v>
      </c>
      <c r="AL388" s="15">
        <f>IF(AN388=21,K388,0)</f>
        <v>0</v>
      </c>
      <c r="AN388" s="32">
        <v>21</v>
      </c>
      <c r="AO388" s="32">
        <f>H388*0</f>
        <v>0</v>
      </c>
      <c r="AP388" s="32">
        <f>H388*(1-0)</f>
        <v>0</v>
      </c>
      <c r="AQ388" s="27" t="s">
        <v>7</v>
      </c>
      <c r="AV388" s="32">
        <f>AW388+AX388</f>
        <v>0</v>
      </c>
      <c r="AW388" s="32">
        <f>G388*AO388</f>
        <v>0</v>
      </c>
      <c r="AX388" s="32">
        <f>G388*AP388</f>
        <v>0</v>
      </c>
      <c r="AY388" s="33" t="s">
        <v>876</v>
      </c>
      <c r="AZ388" s="33" t="s">
        <v>890</v>
      </c>
      <c r="BA388" s="28" t="s">
        <v>891</v>
      </c>
      <c r="BC388" s="32">
        <f>AW388+AX388</f>
        <v>0</v>
      </c>
      <c r="BD388" s="32">
        <f>H388/(100-BE388)*100</f>
        <v>0</v>
      </c>
      <c r="BE388" s="32">
        <v>0</v>
      </c>
      <c r="BF388" s="32">
        <f>388</f>
        <v>388</v>
      </c>
      <c r="BH388" s="15">
        <f>G388*AO388</f>
        <v>0</v>
      </c>
      <c r="BI388" s="15">
        <f>G388*AP388</f>
        <v>0</v>
      </c>
      <c r="BJ388" s="15">
        <f>G388*H388</f>
        <v>0</v>
      </c>
    </row>
    <row r="389" spans="1:62" x14ac:dyDescent="0.2">
      <c r="C389" s="57" t="s">
        <v>676</v>
      </c>
      <c r="D389" s="58"/>
      <c r="E389" s="58"/>
      <c r="G389" s="16">
        <v>2142.8000000000002</v>
      </c>
    </row>
    <row r="390" spans="1:62" x14ac:dyDescent="0.2">
      <c r="A390" s="4" t="s">
        <v>113</v>
      </c>
      <c r="B390" s="4" t="s">
        <v>278</v>
      </c>
      <c r="C390" s="59" t="s">
        <v>677</v>
      </c>
      <c r="D390" s="60"/>
      <c r="E390" s="60"/>
      <c r="F390" s="4" t="s">
        <v>817</v>
      </c>
      <c r="G390" s="15">
        <v>2142.8000000000002</v>
      </c>
      <c r="H390" s="15">
        <v>0</v>
      </c>
      <c r="I390" s="15">
        <f>G390*AO390</f>
        <v>0</v>
      </c>
      <c r="J390" s="15">
        <f>G390*AP390</f>
        <v>0</v>
      </c>
      <c r="K390" s="15">
        <f>G390*H390</f>
        <v>0</v>
      </c>
      <c r="L390" s="27" t="s">
        <v>839</v>
      </c>
      <c r="Z390" s="32">
        <f>IF(AQ390="5",BJ390,0)</f>
        <v>0</v>
      </c>
      <c r="AB390" s="32">
        <f>IF(AQ390="1",BH390,0)</f>
        <v>0</v>
      </c>
      <c r="AC390" s="32">
        <f>IF(AQ390="1",BI390,0)</f>
        <v>0</v>
      </c>
      <c r="AD390" s="32">
        <f>IF(AQ390="7",BH390,0)</f>
        <v>0</v>
      </c>
      <c r="AE390" s="32">
        <f>IF(AQ390="7",BI390,0)</f>
        <v>0</v>
      </c>
      <c r="AF390" s="32">
        <f>IF(AQ390="2",BH390,0)</f>
        <v>0</v>
      </c>
      <c r="AG390" s="32">
        <f>IF(AQ390="2",BI390,0)</f>
        <v>0</v>
      </c>
      <c r="AH390" s="32">
        <f>IF(AQ390="0",BJ390,0)</f>
        <v>0</v>
      </c>
      <c r="AI390" s="28"/>
      <c r="AJ390" s="15">
        <f>IF(AN390=0,K390,0)</f>
        <v>0</v>
      </c>
      <c r="AK390" s="15">
        <f>IF(AN390=15,K390,0)</f>
        <v>0</v>
      </c>
      <c r="AL390" s="15">
        <f>IF(AN390=21,K390,0)</f>
        <v>0</v>
      </c>
      <c r="AN390" s="32">
        <v>21</v>
      </c>
      <c r="AO390" s="32">
        <f>H390*0</f>
        <v>0</v>
      </c>
      <c r="AP390" s="32">
        <f>H390*(1-0)</f>
        <v>0</v>
      </c>
      <c r="AQ390" s="27" t="s">
        <v>7</v>
      </c>
      <c r="AV390" s="32">
        <f>AW390+AX390</f>
        <v>0</v>
      </c>
      <c r="AW390" s="32">
        <f>G390*AO390</f>
        <v>0</v>
      </c>
      <c r="AX390" s="32">
        <f>G390*AP390</f>
        <v>0</v>
      </c>
      <c r="AY390" s="33" t="s">
        <v>876</v>
      </c>
      <c r="AZ390" s="33" t="s">
        <v>890</v>
      </c>
      <c r="BA390" s="28" t="s">
        <v>891</v>
      </c>
      <c r="BC390" s="32">
        <f>AW390+AX390</f>
        <v>0</v>
      </c>
      <c r="BD390" s="32">
        <f>H390/(100-BE390)*100</f>
        <v>0</v>
      </c>
      <c r="BE390" s="32">
        <v>0</v>
      </c>
      <c r="BF390" s="32">
        <f>390</f>
        <v>390</v>
      </c>
      <c r="BH390" s="15">
        <f>G390*AO390</f>
        <v>0</v>
      </c>
      <c r="BI390" s="15">
        <f>G390*AP390</f>
        <v>0</v>
      </c>
      <c r="BJ390" s="15">
        <f>G390*H390</f>
        <v>0</v>
      </c>
    </row>
    <row r="391" spans="1:62" x14ac:dyDescent="0.2">
      <c r="C391" s="57" t="s">
        <v>678</v>
      </c>
      <c r="D391" s="58"/>
      <c r="E391" s="58"/>
      <c r="G391" s="16">
        <v>2142.8000000000002</v>
      </c>
    </row>
    <row r="392" spans="1:62" x14ac:dyDescent="0.2">
      <c r="A392" s="4" t="s">
        <v>114</v>
      </c>
      <c r="B392" s="4" t="s">
        <v>279</v>
      </c>
      <c r="C392" s="59" t="s">
        <v>679</v>
      </c>
      <c r="D392" s="60"/>
      <c r="E392" s="60"/>
      <c r="F392" s="4" t="s">
        <v>817</v>
      </c>
      <c r="G392" s="15">
        <v>4285.6000000000004</v>
      </c>
      <c r="H392" s="15">
        <v>0</v>
      </c>
      <c r="I392" s="15">
        <f>G392*AO392</f>
        <v>0</v>
      </c>
      <c r="J392" s="15">
        <f>G392*AP392</f>
        <v>0</v>
      </c>
      <c r="K392" s="15">
        <f>G392*H392</f>
        <v>0</v>
      </c>
      <c r="L392" s="27" t="s">
        <v>839</v>
      </c>
      <c r="Z392" s="32">
        <f>IF(AQ392="5",BJ392,0)</f>
        <v>0</v>
      </c>
      <c r="AB392" s="32">
        <f>IF(AQ392="1",BH392,0)</f>
        <v>0</v>
      </c>
      <c r="AC392" s="32">
        <f>IF(AQ392="1",BI392,0)</f>
        <v>0</v>
      </c>
      <c r="AD392" s="32">
        <f>IF(AQ392="7",BH392,0)</f>
        <v>0</v>
      </c>
      <c r="AE392" s="32">
        <f>IF(AQ392="7",BI392,0)</f>
        <v>0</v>
      </c>
      <c r="AF392" s="32">
        <f>IF(AQ392="2",BH392,0)</f>
        <v>0</v>
      </c>
      <c r="AG392" s="32">
        <f>IF(AQ392="2",BI392,0)</f>
        <v>0</v>
      </c>
      <c r="AH392" s="32">
        <f>IF(AQ392="0",BJ392,0)</f>
        <v>0</v>
      </c>
      <c r="AI392" s="28"/>
      <c r="AJ392" s="15">
        <f>IF(AN392=0,K392,0)</f>
        <v>0</v>
      </c>
      <c r="AK392" s="15">
        <f>IF(AN392=15,K392,0)</f>
        <v>0</v>
      </c>
      <c r="AL392" s="15">
        <f>IF(AN392=21,K392,0)</f>
        <v>0</v>
      </c>
      <c r="AN392" s="32">
        <v>21</v>
      </c>
      <c r="AO392" s="32">
        <f>H392*1</f>
        <v>0</v>
      </c>
      <c r="AP392" s="32">
        <f>H392*(1-1)</f>
        <v>0</v>
      </c>
      <c r="AQ392" s="27" t="s">
        <v>7</v>
      </c>
      <c r="AV392" s="32">
        <f>AW392+AX392</f>
        <v>0</v>
      </c>
      <c r="AW392" s="32">
        <f>G392*AO392</f>
        <v>0</v>
      </c>
      <c r="AX392" s="32">
        <f>G392*AP392</f>
        <v>0</v>
      </c>
      <c r="AY392" s="33" t="s">
        <v>876</v>
      </c>
      <c r="AZ392" s="33" t="s">
        <v>890</v>
      </c>
      <c r="BA392" s="28" t="s">
        <v>891</v>
      </c>
      <c r="BC392" s="32">
        <f>AW392+AX392</f>
        <v>0</v>
      </c>
      <c r="BD392" s="32">
        <f>H392/(100-BE392)*100</f>
        <v>0</v>
      </c>
      <c r="BE392" s="32">
        <v>0</v>
      </c>
      <c r="BF392" s="32">
        <f>392</f>
        <v>392</v>
      </c>
      <c r="BH392" s="15">
        <f>G392*AO392</f>
        <v>0</v>
      </c>
      <c r="BI392" s="15">
        <f>G392*AP392</f>
        <v>0</v>
      </c>
      <c r="BJ392" s="15">
        <f>G392*H392</f>
        <v>0</v>
      </c>
    </row>
    <row r="393" spans="1:62" x14ac:dyDescent="0.2">
      <c r="C393" s="57" t="s">
        <v>674</v>
      </c>
      <c r="D393" s="58"/>
      <c r="E393" s="58"/>
      <c r="G393" s="16">
        <v>4285.6000000000004</v>
      </c>
    </row>
    <row r="394" spans="1:62" x14ac:dyDescent="0.2">
      <c r="A394" s="4" t="s">
        <v>115</v>
      </c>
      <c r="B394" s="4" t="s">
        <v>280</v>
      </c>
      <c r="C394" s="59" t="s">
        <v>680</v>
      </c>
      <c r="D394" s="60"/>
      <c r="E394" s="60"/>
      <c r="F394" s="4" t="s">
        <v>817</v>
      </c>
      <c r="G394" s="15">
        <v>2142.8000000000002</v>
      </c>
      <c r="H394" s="15">
        <v>0</v>
      </c>
      <c r="I394" s="15">
        <f>G394*AO394</f>
        <v>0</v>
      </c>
      <c r="J394" s="15">
        <f>G394*AP394</f>
        <v>0</v>
      </c>
      <c r="K394" s="15">
        <f>G394*H394</f>
        <v>0</v>
      </c>
      <c r="L394" s="27" t="s">
        <v>839</v>
      </c>
      <c r="Z394" s="32">
        <f>IF(AQ394="5",BJ394,0)</f>
        <v>0</v>
      </c>
      <c r="AB394" s="32">
        <f>IF(AQ394="1",BH394,0)</f>
        <v>0</v>
      </c>
      <c r="AC394" s="32">
        <f>IF(AQ394="1",BI394,0)</f>
        <v>0</v>
      </c>
      <c r="AD394" s="32">
        <f>IF(AQ394="7",BH394,0)</f>
        <v>0</v>
      </c>
      <c r="AE394" s="32">
        <f>IF(AQ394="7",BI394,0)</f>
        <v>0</v>
      </c>
      <c r="AF394" s="32">
        <f>IF(AQ394="2",BH394,0)</f>
        <v>0</v>
      </c>
      <c r="AG394" s="32">
        <f>IF(AQ394="2",BI394,0)</f>
        <v>0</v>
      </c>
      <c r="AH394" s="32">
        <f>IF(AQ394="0",BJ394,0)</f>
        <v>0</v>
      </c>
      <c r="AI394" s="28"/>
      <c r="AJ394" s="15">
        <f>IF(AN394=0,K394,0)</f>
        <v>0</v>
      </c>
      <c r="AK394" s="15">
        <f>IF(AN394=15,K394,0)</f>
        <v>0</v>
      </c>
      <c r="AL394" s="15">
        <f>IF(AN394=21,K394,0)</f>
        <v>0</v>
      </c>
      <c r="AN394" s="32">
        <v>21</v>
      </c>
      <c r="AO394" s="32">
        <f>H394*0</f>
        <v>0</v>
      </c>
      <c r="AP394" s="32">
        <f>H394*(1-0)</f>
        <v>0</v>
      </c>
      <c r="AQ394" s="27" t="s">
        <v>7</v>
      </c>
      <c r="AV394" s="32">
        <f>AW394+AX394</f>
        <v>0</v>
      </c>
      <c r="AW394" s="32">
        <f>G394*AO394</f>
        <v>0</v>
      </c>
      <c r="AX394" s="32">
        <f>G394*AP394</f>
        <v>0</v>
      </c>
      <c r="AY394" s="33" t="s">
        <v>876</v>
      </c>
      <c r="AZ394" s="33" t="s">
        <v>890</v>
      </c>
      <c r="BA394" s="28" t="s">
        <v>891</v>
      </c>
      <c r="BC394" s="32">
        <f>AW394+AX394</f>
        <v>0</v>
      </c>
      <c r="BD394" s="32">
        <f>H394/(100-BE394)*100</f>
        <v>0</v>
      </c>
      <c r="BE394" s="32">
        <v>0</v>
      </c>
      <c r="BF394" s="32">
        <f>394</f>
        <v>394</v>
      </c>
      <c r="BH394" s="15">
        <f>G394*AO394</f>
        <v>0</v>
      </c>
      <c r="BI394" s="15">
        <f>G394*AP394</f>
        <v>0</v>
      </c>
      <c r="BJ394" s="15">
        <f>G394*H394</f>
        <v>0</v>
      </c>
    </row>
    <row r="395" spans="1:62" x14ac:dyDescent="0.2">
      <c r="C395" s="57" t="s">
        <v>676</v>
      </c>
      <c r="D395" s="58"/>
      <c r="E395" s="58"/>
      <c r="G395" s="16">
        <v>2142.8000000000002</v>
      </c>
    </row>
    <row r="396" spans="1:62" x14ac:dyDescent="0.2">
      <c r="A396" s="4" t="s">
        <v>116</v>
      </c>
      <c r="B396" s="4" t="s">
        <v>281</v>
      </c>
      <c r="C396" s="59" t="s">
        <v>681</v>
      </c>
      <c r="D396" s="60"/>
      <c r="E396" s="60"/>
      <c r="F396" s="4" t="s">
        <v>817</v>
      </c>
      <c r="G396" s="15">
        <v>113.5</v>
      </c>
      <c r="H396" s="15">
        <v>0</v>
      </c>
      <c r="I396" s="15">
        <f>G396*AO396</f>
        <v>0</v>
      </c>
      <c r="J396" s="15">
        <f>G396*AP396</f>
        <v>0</v>
      </c>
      <c r="K396" s="15">
        <f>G396*H396</f>
        <v>0</v>
      </c>
      <c r="L396" s="27" t="s">
        <v>839</v>
      </c>
      <c r="Z396" s="32">
        <f>IF(AQ396="5",BJ396,0)</f>
        <v>0</v>
      </c>
      <c r="AB396" s="32">
        <f>IF(AQ396="1",BH396,0)</f>
        <v>0</v>
      </c>
      <c r="AC396" s="32">
        <f>IF(AQ396="1",BI396,0)</f>
        <v>0</v>
      </c>
      <c r="AD396" s="32">
        <f>IF(AQ396="7",BH396,0)</f>
        <v>0</v>
      </c>
      <c r="AE396" s="32">
        <f>IF(AQ396="7",BI396,0)</f>
        <v>0</v>
      </c>
      <c r="AF396" s="32">
        <f>IF(AQ396="2",BH396,0)</f>
        <v>0</v>
      </c>
      <c r="AG396" s="32">
        <f>IF(AQ396="2",BI396,0)</f>
        <v>0</v>
      </c>
      <c r="AH396" s="32">
        <f>IF(AQ396="0",BJ396,0)</f>
        <v>0</v>
      </c>
      <c r="AI396" s="28"/>
      <c r="AJ396" s="15">
        <f>IF(AN396=0,K396,0)</f>
        <v>0</v>
      </c>
      <c r="AK396" s="15">
        <f>IF(AN396=15,K396,0)</f>
        <v>0</v>
      </c>
      <c r="AL396" s="15">
        <f>IF(AN396=21,K396,0)</f>
        <v>0</v>
      </c>
      <c r="AN396" s="32">
        <v>21</v>
      </c>
      <c r="AO396" s="32">
        <f>H396*0.337601506006982</f>
        <v>0</v>
      </c>
      <c r="AP396" s="32">
        <f>H396*(1-0.337601506006982)</f>
        <v>0</v>
      </c>
      <c r="AQ396" s="27" t="s">
        <v>7</v>
      </c>
      <c r="AV396" s="32">
        <f>AW396+AX396</f>
        <v>0</v>
      </c>
      <c r="AW396" s="32">
        <f>G396*AO396</f>
        <v>0</v>
      </c>
      <c r="AX396" s="32">
        <f>G396*AP396</f>
        <v>0</v>
      </c>
      <c r="AY396" s="33" t="s">
        <v>876</v>
      </c>
      <c r="AZ396" s="33" t="s">
        <v>890</v>
      </c>
      <c r="BA396" s="28" t="s">
        <v>891</v>
      </c>
      <c r="BC396" s="32">
        <f>AW396+AX396</f>
        <v>0</v>
      </c>
      <c r="BD396" s="32">
        <f>H396/(100-BE396)*100</f>
        <v>0</v>
      </c>
      <c r="BE396" s="32">
        <v>0</v>
      </c>
      <c r="BF396" s="32">
        <f>396</f>
        <v>396</v>
      </c>
      <c r="BH396" s="15">
        <f>G396*AO396</f>
        <v>0</v>
      </c>
      <c r="BI396" s="15">
        <f>G396*AP396</f>
        <v>0</v>
      </c>
      <c r="BJ396" s="15">
        <f>G396*H396</f>
        <v>0</v>
      </c>
    </row>
    <row r="397" spans="1:62" x14ac:dyDescent="0.2">
      <c r="C397" s="57" t="s">
        <v>682</v>
      </c>
      <c r="D397" s="58"/>
      <c r="E397" s="58"/>
      <c r="G397" s="16">
        <v>29</v>
      </c>
    </row>
    <row r="398" spans="1:62" x14ac:dyDescent="0.2">
      <c r="C398" s="57" t="s">
        <v>683</v>
      </c>
      <c r="D398" s="58"/>
      <c r="E398" s="58"/>
      <c r="G398" s="16">
        <v>44</v>
      </c>
    </row>
    <row r="399" spans="1:62" x14ac:dyDescent="0.2">
      <c r="C399" s="57" t="s">
        <v>684</v>
      </c>
      <c r="D399" s="58"/>
      <c r="E399" s="58"/>
      <c r="G399" s="16">
        <v>40.5</v>
      </c>
    </row>
    <row r="400" spans="1:62" x14ac:dyDescent="0.2">
      <c r="A400" s="4" t="s">
        <v>117</v>
      </c>
      <c r="B400" s="4" t="s">
        <v>282</v>
      </c>
      <c r="C400" s="59" t="s">
        <v>685</v>
      </c>
      <c r="D400" s="60"/>
      <c r="E400" s="60"/>
      <c r="F400" s="4" t="s">
        <v>821</v>
      </c>
      <c r="G400" s="15">
        <v>43.807600000000001</v>
      </c>
      <c r="H400" s="15">
        <v>0</v>
      </c>
      <c r="I400" s="15">
        <f>G400*AO400</f>
        <v>0</v>
      </c>
      <c r="J400" s="15">
        <f>G400*AP400</f>
        <v>0</v>
      </c>
      <c r="K400" s="15">
        <f>G400*H400</f>
        <v>0</v>
      </c>
      <c r="L400" s="27" t="s">
        <v>839</v>
      </c>
      <c r="Z400" s="32">
        <f>IF(AQ400="5",BJ400,0)</f>
        <v>0</v>
      </c>
      <c r="AB400" s="32">
        <f>IF(AQ400="1",BH400,0)</f>
        <v>0</v>
      </c>
      <c r="AC400" s="32">
        <f>IF(AQ400="1",BI400,0)</f>
        <v>0</v>
      </c>
      <c r="AD400" s="32">
        <f>IF(AQ400="7",BH400,0)</f>
        <v>0</v>
      </c>
      <c r="AE400" s="32">
        <f>IF(AQ400="7",BI400,0)</f>
        <v>0</v>
      </c>
      <c r="AF400" s="32">
        <f>IF(AQ400="2",BH400,0)</f>
        <v>0</v>
      </c>
      <c r="AG400" s="32">
        <f>IF(AQ400="2",BI400,0)</f>
        <v>0</v>
      </c>
      <c r="AH400" s="32">
        <f>IF(AQ400="0",BJ400,0)</f>
        <v>0</v>
      </c>
      <c r="AI400" s="28"/>
      <c r="AJ400" s="15">
        <f>IF(AN400=0,K400,0)</f>
        <v>0</v>
      </c>
      <c r="AK400" s="15">
        <f>IF(AN400=15,K400,0)</f>
        <v>0</v>
      </c>
      <c r="AL400" s="15">
        <f>IF(AN400=21,K400,0)</f>
        <v>0</v>
      </c>
      <c r="AN400" s="32">
        <v>21</v>
      </c>
      <c r="AO400" s="32">
        <f>H400*0</f>
        <v>0</v>
      </c>
      <c r="AP400" s="32">
        <f>H400*(1-0)</f>
        <v>0</v>
      </c>
      <c r="AQ400" s="27" t="s">
        <v>11</v>
      </c>
      <c r="AV400" s="32">
        <f>AW400+AX400</f>
        <v>0</v>
      </c>
      <c r="AW400" s="32">
        <f>G400*AO400</f>
        <v>0</v>
      </c>
      <c r="AX400" s="32">
        <f>G400*AP400</f>
        <v>0</v>
      </c>
      <c r="AY400" s="33" t="s">
        <v>876</v>
      </c>
      <c r="AZ400" s="33" t="s">
        <v>890</v>
      </c>
      <c r="BA400" s="28" t="s">
        <v>891</v>
      </c>
      <c r="BC400" s="32">
        <f>AW400+AX400</f>
        <v>0</v>
      </c>
      <c r="BD400" s="32">
        <f>H400/(100-BE400)*100</f>
        <v>0</v>
      </c>
      <c r="BE400" s="32">
        <v>0</v>
      </c>
      <c r="BF400" s="32">
        <f>400</f>
        <v>400</v>
      </c>
      <c r="BH400" s="15">
        <f>G400*AO400</f>
        <v>0</v>
      </c>
      <c r="BI400" s="15">
        <f>G400*AP400</f>
        <v>0</v>
      </c>
      <c r="BJ400" s="15">
        <f>G400*H400</f>
        <v>0</v>
      </c>
    </row>
    <row r="401" spans="1:62" x14ac:dyDescent="0.2">
      <c r="C401" s="57" t="s">
        <v>686</v>
      </c>
      <c r="D401" s="58"/>
      <c r="E401" s="58"/>
      <c r="G401" s="16">
        <v>43.807600000000001</v>
      </c>
    </row>
    <row r="402" spans="1:62" x14ac:dyDescent="0.2">
      <c r="A402" s="5"/>
      <c r="B402" s="13" t="s">
        <v>100</v>
      </c>
      <c r="C402" s="65" t="s">
        <v>687</v>
      </c>
      <c r="D402" s="66"/>
      <c r="E402" s="66"/>
      <c r="F402" s="5" t="s">
        <v>6</v>
      </c>
      <c r="G402" s="5" t="s">
        <v>6</v>
      </c>
      <c r="H402" s="5" t="s">
        <v>6</v>
      </c>
      <c r="I402" s="35">
        <f>SUM(I403:I418)</f>
        <v>0</v>
      </c>
      <c r="J402" s="35">
        <f>SUM(J403:J418)</f>
        <v>0</v>
      </c>
      <c r="K402" s="35">
        <f>SUM(K403:K418)</f>
        <v>0</v>
      </c>
      <c r="L402" s="28"/>
      <c r="AI402" s="28"/>
      <c r="AS402" s="35">
        <f>SUM(AJ403:AJ418)</f>
        <v>0</v>
      </c>
      <c r="AT402" s="35">
        <f>SUM(AK403:AK418)</f>
        <v>0</v>
      </c>
      <c r="AU402" s="35">
        <f>SUM(AL403:AL418)</f>
        <v>0</v>
      </c>
    </row>
    <row r="403" spans="1:62" x14ac:dyDescent="0.2">
      <c r="A403" s="4" t="s">
        <v>118</v>
      </c>
      <c r="B403" s="4" t="s">
        <v>283</v>
      </c>
      <c r="C403" s="59" t="s">
        <v>688</v>
      </c>
      <c r="D403" s="60"/>
      <c r="E403" s="60"/>
      <c r="F403" s="4" t="s">
        <v>817</v>
      </c>
      <c r="G403" s="15">
        <v>1236</v>
      </c>
      <c r="H403" s="15">
        <v>0</v>
      </c>
      <c r="I403" s="15">
        <f>G403*AO403</f>
        <v>0</v>
      </c>
      <c r="J403" s="15">
        <f>G403*AP403</f>
        <v>0</v>
      </c>
      <c r="K403" s="15">
        <f>G403*H403</f>
        <v>0</v>
      </c>
      <c r="L403" s="27" t="s">
        <v>839</v>
      </c>
      <c r="Z403" s="32">
        <f>IF(AQ403="5",BJ403,0)</f>
        <v>0</v>
      </c>
      <c r="AB403" s="32">
        <f>IF(AQ403="1",BH403,0)</f>
        <v>0</v>
      </c>
      <c r="AC403" s="32">
        <f>IF(AQ403="1",BI403,0)</f>
        <v>0</v>
      </c>
      <c r="AD403" s="32">
        <f>IF(AQ403="7",BH403,0)</f>
        <v>0</v>
      </c>
      <c r="AE403" s="32">
        <f>IF(AQ403="7",BI403,0)</f>
        <v>0</v>
      </c>
      <c r="AF403" s="32">
        <f>IF(AQ403="2",BH403,0)</f>
        <v>0</v>
      </c>
      <c r="AG403" s="32">
        <f>IF(AQ403="2",BI403,0)</f>
        <v>0</v>
      </c>
      <c r="AH403" s="32">
        <f>IF(AQ403="0",BJ403,0)</f>
        <v>0</v>
      </c>
      <c r="AI403" s="28"/>
      <c r="AJ403" s="15">
        <f>IF(AN403=0,K403,0)</f>
        <v>0</v>
      </c>
      <c r="AK403" s="15">
        <f>IF(AN403=15,K403,0)</f>
        <v>0</v>
      </c>
      <c r="AL403" s="15">
        <f>IF(AN403=21,K403,0)</f>
        <v>0</v>
      </c>
      <c r="AN403" s="32">
        <v>21</v>
      </c>
      <c r="AO403" s="32">
        <f>H403*0.00155369974752379</f>
        <v>0</v>
      </c>
      <c r="AP403" s="32">
        <f>H403*(1-0.00155369974752379)</f>
        <v>0</v>
      </c>
      <c r="AQ403" s="27" t="s">
        <v>7</v>
      </c>
      <c r="AV403" s="32">
        <f>AW403+AX403</f>
        <v>0</v>
      </c>
      <c r="AW403" s="32">
        <f>G403*AO403</f>
        <v>0</v>
      </c>
      <c r="AX403" s="32">
        <f>G403*AP403</f>
        <v>0</v>
      </c>
      <c r="AY403" s="33" t="s">
        <v>877</v>
      </c>
      <c r="AZ403" s="33" t="s">
        <v>890</v>
      </c>
      <c r="BA403" s="28" t="s">
        <v>891</v>
      </c>
      <c r="BC403" s="32">
        <f>AW403+AX403</f>
        <v>0</v>
      </c>
      <c r="BD403" s="32">
        <f>H403/(100-BE403)*100</f>
        <v>0</v>
      </c>
      <c r="BE403" s="32">
        <v>0</v>
      </c>
      <c r="BF403" s="32">
        <f>403</f>
        <v>403</v>
      </c>
      <c r="BH403" s="15">
        <f>G403*AO403</f>
        <v>0</v>
      </c>
      <c r="BI403" s="15">
        <f>G403*AP403</f>
        <v>0</v>
      </c>
      <c r="BJ403" s="15">
        <f>G403*H403</f>
        <v>0</v>
      </c>
    </row>
    <row r="404" spans="1:62" x14ac:dyDescent="0.2">
      <c r="C404" s="57" t="s">
        <v>689</v>
      </c>
      <c r="D404" s="58"/>
      <c r="E404" s="58"/>
      <c r="G404" s="16">
        <v>1236</v>
      </c>
    </row>
    <row r="405" spans="1:62" x14ac:dyDescent="0.2">
      <c r="A405" s="4" t="s">
        <v>119</v>
      </c>
      <c r="B405" s="4" t="s">
        <v>284</v>
      </c>
      <c r="C405" s="59" t="s">
        <v>690</v>
      </c>
      <c r="D405" s="60"/>
      <c r="E405" s="60"/>
      <c r="F405" s="4" t="s">
        <v>817</v>
      </c>
      <c r="G405" s="15">
        <v>431.178</v>
      </c>
      <c r="H405" s="15">
        <v>0</v>
      </c>
      <c r="I405" s="15">
        <f>G405*AO405</f>
        <v>0</v>
      </c>
      <c r="J405" s="15">
        <f>G405*AP405</f>
        <v>0</v>
      </c>
      <c r="K405" s="15">
        <f>G405*H405</f>
        <v>0</v>
      </c>
      <c r="L405" s="27" t="s">
        <v>839</v>
      </c>
      <c r="Z405" s="32">
        <f>IF(AQ405="5",BJ405,0)</f>
        <v>0</v>
      </c>
      <c r="AB405" s="32">
        <f>IF(AQ405="1",BH405,0)</f>
        <v>0</v>
      </c>
      <c r="AC405" s="32">
        <f>IF(AQ405="1",BI405,0)</f>
        <v>0</v>
      </c>
      <c r="AD405" s="32">
        <f>IF(AQ405="7",BH405,0)</f>
        <v>0</v>
      </c>
      <c r="AE405" s="32">
        <f>IF(AQ405="7",BI405,0)</f>
        <v>0</v>
      </c>
      <c r="AF405" s="32">
        <f>IF(AQ405="2",BH405,0)</f>
        <v>0</v>
      </c>
      <c r="AG405" s="32">
        <f>IF(AQ405="2",BI405,0)</f>
        <v>0</v>
      </c>
      <c r="AH405" s="32">
        <f>IF(AQ405="0",BJ405,0)</f>
        <v>0</v>
      </c>
      <c r="AI405" s="28"/>
      <c r="AJ405" s="15">
        <f>IF(AN405=0,K405,0)</f>
        <v>0</v>
      </c>
      <c r="AK405" s="15">
        <f>IF(AN405=15,K405,0)</f>
        <v>0</v>
      </c>
      <c r="AL405" s="15">
        <f>IF(AN405=21,K405,0)</f>
        <v>0</v>
      </c>
      <c r="AN405" s="32">
        <v>21</v>
      </c>
      <c r="AO405" s="32">
        <f>H405*0.0197556006280337</f>
        <v>0</v>
      </c>
      <c r="AP405" s="32">
        <f>H405*(1-0.0197556006280337)</f>
        <v>0</v>
      </c>
      <c r="AQ405" s="27" t="s">
        <v>7</v>
      </c>
      <c r="AV405" s="32">
        <f>AW405+AX405</f>
        <v>0</v>
      </c>
      <c r="AW405" s="32">
        <f>G405*AO405</f>
        <v>0</v>
      </c>
      <c r="AX405" s="32">
        <f>G405*AP405</f>
        <v>0</v>
      </c>
      <c r="AY405" s="33" t="s">
        <v>877</v>
      </c>
      <c r="AZ405" s="33" t="s">
        <v>890</v>
      </c>
      <c r="BA405" s="28" t="s">
        <v>891</v>
      </c>
      <c r="BC405" s="32">
        <f>AW405+AX405</f>
        <v>0</v>
      </c>
      <c r="BD405" s="32">
        <f>H405/(100-BE405)*100</f>
        <v>0</v>
      </c>
      <c r="BE405" s="32">
        <v>0</v>
      </c>
      <c r="BF405" s="32">
        <f>405</f>
        <v>405</v>
      </c>
      <c r="BH405" s="15">
        <f>G405*AO405</f>
        <v>0</v>
      </c>
      <c r="BI405" s="15">
        <f>G405*AP405</f>
        <v>0</v>
      </c>
      <c r="BJ405" s="15">
        <f>G405*H405</f>
        <v>0</v>
      </c>
    </row>
    <row r="406" spans="1:62" x14ac:dyDescent="0.2">
      <c r="C406" s="57" t="s">
        <v>691</v>
      </c>
      <c r="D406" s="58"/>
      <c r="E406" s="58"/>
      <c r="G406" s="16">
        <v>431.178</v>
      </c>
    </row>
    <row r="407" spans="1:62" x14ac:dyDescent="0.2">
      <c r="A407" s="4" t="s">
        <v>120</v>
      </c>
      <c r="B407" s="4" t="s">
        <v>284</v>
      </c>
      <c r="C407" s="59" t="s">
        <v>692</v>
      </c>
      <c r="D407" s="60"/>
      <c r="E407" s="60"/>
      <c r="F407" s="4" t="s">
        <v>817</v>
      </c>
      <c r="G407" s="15">
        <v>431.178</v>
      </c>
      <c r="H407" s="15">
        <v>0</v>
      </c>
      <c r="I407" s="15">
        <f>G407*AO407</f>
        <v>0</v>
      </c>
      <c r="J407" s="15">
        <f>G407*AP407</f>
        <v>0</v>
      </c>
      <c r="K407" s="15">
        <f>G407*H407</f>
        <v>0</v>
      </c>
      <c r="L407" s="27" t="s">
        <v>839</v>
      </c>
      <c r="Z407" s="32">
        <f>IF(AQ407="5",BJ407,0)</f>
        <v>0</v>
      </c>
      <c r="AB407" s="32">
        <f>IF(AQ407="1",BH407,0)</f>
        <v>0</v>
      </c>
      <c r="AC407" s="32">
        <f>IF(AQ407="1",BI407,0)</f>
        <v>0</v>
      </c>
      <c r="AD407" s="32">
        <f>IF(AQ407="7",BH407,0)</f>
        <v>0</v>
      </c>
      <c r="AE407" s="32">
        <f>IF(AQ407="7",BI407,0)</f>
        <v>0</v>
      </c>
      <c r="AF407" s="32">
        <f>IF(AQ407="2",BH407,0)</f>
        <v>0</v>
      </c>
      <c r="AG407" s="32">
        <f>IF(AQ407="2",BI407,0)</f>
        <v>0</v>
      </c>
      <c r="AH407" s="32">
        <f>IF(AQ407="0",BJ407,0)</f>
        <v>0</v>
      </c>
      <c r="AI407" s="28"/>
      <c r="AJ407" s="15">
        <f>IF(AN407=0,K407,0)</f>
        <v>0</v>
      </c>
      <c r="AK407" s="15">
        <f>IF(AN407=15,K407,0)</f>
        <v>0</v>
      </c>
      <c r="AL407" s="15">
        <f>IF(AN407=21,K407,0)</f>
        <v>0</v>
      </c>
      <c r="AN407" s="32">
        <v>21</v>
      </c>
      <c r="AO407" s="32">
        <f>H407*0.0197556006280337</f>
        <v>0</v>
      </c>
      <c r="AP407" s="32">
        <f>H407*(1-0.0197556006280337)</f>
        <v>0</v>
      </c>
      <c r="AQ407" s="27" t="s">
        <v>7</v>
      </c>
      <c r="AV407" s="32">
        <f>AW407+AX407</f>
        <v>0</v>
      </c>
      <c r="AW407" s="32">
        <f>G407*AO407</f>
        <v>0</v>
      </c>
      <c r="AX407" s="32">
        <f>G407*AP407</f>
        <v>0</v>
      </c>
      <c r="AY407" s="33" t="s">
        <v>877</v>
      </c>
      <c r="AZ407" s="33" t="s">
        <v>890</v>
      </c>
      <c r="BA407" s="28" t="s">
        <v>891</v>
      </c>
      <c r="BC407" s="32">
        <f>AW407+AX407</f>
        <v>0</v>
      </c>
      <c r="BD407" s="32">
        <f>H407/(100-BE407)*100</f>
        <v>0</v>
      </c>
      <c r="BE407" s="32">
        <v>0</v>
      </c>
      <c r="BF407" s="32">
        <f>407</f>
        <v>407</v>
      </c>
      <c r="BH407" s="15">
        <f>G407*AO407</f>
        <v>0</v>
      </c>
      <c r="BI407" s="15">
        <f>G407*AP407</f>
        <v>0</v>
      </c>
      <c r="BJ407" s="15">
        <f>G407*H407</f>
        <v>0</v>
      </c>
    </row>
    <row r="408" spans="1:62" x14ac:dyDescent="0.2">
      <c r="C408" s="57" t="s">
        <v>693</v>
      </c>
      <c r="D408" s="58"/>
      <c r="E408" s="58"/>
      <c r="G408" s="16">
        <v>431.178</v>
      </c>
    </row>
    <row r="409" spans="1:62" x14ac:dyDescent="0.2">
      <c r="A409" s="4" t="s">
        <v>121</v>
      </c>
      <c r="B409" s="4" t="s">
        <v>285</v>
      </c>
      <c r="C409" s="59" t="s">
        <v>694</v>
      </c>
      <c r="D409" s="60"/>
      <c r="E409" s="60"/>
      <c r="F409" s="4" t="s">
        <v>817</v>
      </c>
      <c r="G409" s="15">
        <v>1887.95</v>
      </c>
      <c r="H409" s="15">
        <v>0</v>
      </c>
      <c r="I409" s="15">
        <f>G409*AO409</f>
        <v>0</v>
      </c>
      <c r="J409" s="15">
        <f>G409*AP409</f>
        <v>0</v>
      </c>
      <c r="K409" s="15">
        <f>G409*H409</f>
        <v>0</v>
      </c>
      <c r="L409" s="27"/>
      <c r="Z409" s="32">
        <f>IF(AQ409="5",BJ409,0)</f>
        <v>0</v>
      </c>
      <c r="AB409" s="32">
        <f>IF(AQ409="1",BH409,0)</f>
        <v>0</v>
      </c>
      <c r="AC409" s="32">
        <f>IF(AQ409="1",BI409,0)</f>
        <v>0</v>
      </c>
      <c r="AD409" s="32">
        <f>IF(AQ409="7",BH409,0)</f>
        <v>0</v>
      </c>
      <c r="AE409" s="32">
        <f>IF(AQ409="7",BI409,0)</f>
        <v>0</v>
      </c>
      <c r="AF409" s="32">
        <f>IF(AQ409="2",BH409,0)</f>
        <v>0</v>
      </c>
      <c r="AG409" s="32">
        <f>IF(AQ409="2",BI409,0)</f>
        <v>0</v>
      </c>
      <c r="AH409" s="32">
        <f>IF(AQ409="0",BJ409,0)</f>
        <v>0</v>
      </c>
      <c r="AI409" s="28"/>
      <c r="AJ409" s="15">
        <f>IF(AN409=0,K409,0)</f>
        <v>0</v>
      </c>
      <c r="AK409" s="15">
        <f>IF(AN409=15,K409,0)</f>
        <v>0</v>
      </c>
      <c r="AL409" s="15">
        <f>IF(AN409=21,K409,0)</f>
        <v>0</v>
      </c>
      <c r="AN409" s="32">
        <v>21</v>
      </c>
      <c r="AO409" s="32">
        <f>H409*0</f>
        <v>0</v>
      </c>
      <c r="AP409" s="32">
        <f>H409*(1-0)</f>
        <v>0</v>
      </c>
      <c r="AQ409" s="27" t="s">
        <v>7</v>
      </c>
      <c r="AV409" s="32">
        <f>AW409+AX409</f>
        <v>0</v>
      </c>
      <c r="AW409" s="32">
        <f>G409*AO409</f>
        <v>0</v>
      </c>
      <c r="AX409" s="32">
        <f>G409*AP409</f>
        <v>0</v>
      </c>
      <c r="AY409" s="33" t="s">
        <v>877</v>
      </c>
      <c r="AZ409" s="33" t="s">
        <v>890</v>
      </c>
      <c r="BA409" s="28" t="s">
        <v>891</v>
      </c>
      <c r="BC409" s="32">
        <f>AW409+AX409</f>
        <v>0</v>
      </c>
      <c r="BD409" s="32">
        <f>H409/(100-BE409)*100</f>
        <v>0</v>
      </c>
      <c r="BE409" s="32">
        <v>0</v>
      </c>
      <c r="BF409" s="32">
        <f>409</f>
        <v>409</v>
      </c>
      <c r="BH409" s="15">
        <f>G409*AO409</f>
        <v>0</v>
      </c>
      <c r="BI409" s="15">
        <f>G409*AP409</f>
        <v>0</v>
      </c>
      <c r="BJ409" s="15">
        <f>G409*H409</f>
        <v>0</v>
      </c>
    </row>
    <row r="410" spans="1:62" x14ac:dyDescent="0.2">
      <c r="C410" s="57" t="s">
        <v>695</v>
      </c>
      <c r="D410" s="58"/>
      <c r="E410" s="58"/>
      <c r="G410" s="16">
        <v>325.89999999999998</v>
      </c>
    </row>
    <row r="411" spans="1:62" x14ac:dyDescent="0.2">
      <c r="C411" s="57" t="s">
        <v>696</v>
      </c>
      <c r="D411" s="58"/>
      <c r="E411" s="58"/>
      <c r="G411" s="16">
        <v>439.5</v>
      </c>
    </row>
    <row r="412" spans="1:62" x14ac:dyDescent="0.2">
      <c r="C412" s="57" t="s">
        <v>697</v>
      </c>
      <c r="D412" s="58"/>
      <c r="E412" s="58"/>
      <c r="G412" s="16">
        <v>231.55</v>
      </c>
    </row>
    <row r="413" spans="1:62" x14ac:dyDescent="0.2">
      <c r="C413" s="57" t="s">
        <v>698</v>
      </c>
      <c r="D413" s="58"/>
      <c r="E413" s="58"/>
      <c r="G413" s="16">
        <v>163.25</v>
      </c>
    </row>
    <row r="414" spans="1:62" x14ac:dyDescent="0.2">
      <c r="C414" s="57" t="s">
        <v>659</v>
      </c>
      <c r="D414" s="58"/>
      <c r="E414" s="58"/>
      <c r="G414" s="16">
        <v>0</v>
      </c>
    </row>
    <row r="415" spans="1:62" x14ac:dyDescent="0.2">
      <c r="C415" s="57" t="s">
        <v>699</v>
      </c>
      <c r="D415" s="58"/>
      <c r="E415" s="58"/>
      <c r="G415" s="16">
        <v>286.64999999999998</v>
      </c>
    </row>
    <row r="416" spans="1:62" x14ac:dyDescent="0.2">
      <c r="C416" s="57" t="s">
        <v>700</v>
      </c>
      <c r="D416" s="58"/>
      <c r="E416" s="58"/>
      <c r="G416" s="16">
        <v>441.1</v>
      </c>
    </row>
    <row r="417" spans="1:62" x14ac:dyDescent="0.2">
      <c r="C417" s="57" t="s">
        <v>661</v>
      </c>
      <c r="D417" s="58"/>
      <c r="E417" s="58"/>
      <c r="G417" s="16">
        <v>0</v>
      </c>
    </row>
    <row r="418" spans="1:62" x14ac:dyDescent="0.2">
      <c r="A418" s="4" t="s">
        <v>122</v>
      </c>
      <c r="B418" s="4" t="s">
        <v>286</v>
      </c>
      <c r="C418" s="59" t="s">
        <v>701</v>
      </c>
      <c r="D418" s="60"/>
      <c r="E418" s="60"/>
      <c r="F418" s="4" t="s">
        <v>817</v>
      </c>
      <c r="G418" s="15">
        <v>1887.95</v>
      </c>
      <c r="H418" s="15">
        <v>0</v>
      </c>
      <c r="I418" s="15">
        <f>G418*AO418</f>
        <v>0</v>
      </c>
      <c r="J418" s="15">
        <f>G418*AP418</f>
        <v>0</v>
      </c>
      <c r="K418" s="15">
        <f>G418*H418</f>
        <v>0</v>
      </c>
      <c r="L418" s="27" t="s">
        <v>839</v>
      </c>
      <c r="Z418" s="32">
        <f>IF(AQ418="5",BJ418,0)</f>
        <v>0</v>
      </c>
      <c r="AB418" s="32">
        <f>IF(AQ418="1",BH418,0)</f>
        <v>0</v>
      </c>
      <c r="AC418" s="32">
        <f>IF(AQ418="1",BI418,0)</f>
        <v>0</v>
      </c>
      <c r="AD418" s="32">
        <f>IF(AQ418="7",BH418,0)</f>
        <v>0</v>
      </c>
      <c r="AE418" s="32">
        <f>IF(AQ418="7",BI418,0)</f>
        <v>0</v>
      </c>
      <c r="AF418" s="32">
        <f>IF(AQ418="2",BH418,0)</f>
        <v>0</v>
      </c>
      <c r="AG418" s="32">
        <f>IF(AQ418="2",BI418,0)</f>
        <v>0</v>
      </c>
      <c r="AH418" s="32">
        <f>IF(AQ418="0",BJ418,0)</f>
        <v>0</v>
      </c>
      <c r="AI418" s="28"/>
      <c r="AJ418" s="15">
        <f>IF(AN418=0,K418,0)</f>
        <v>0</v>
      </c>
      <c r="AK418" s="15">
        <f>IF(AN418=15,K418,0)</f>
        <v>0</v>
      </c>
      <c r="AL418" s="15">
        <f>IF(AN418=21,K418,0)</f>
        <v>0</v>
      </c>
      <c r="AN418" s="32">
        <v>21</v>
      </c>
      <c r="AO418" s="32">
        <f>H418*0</f>
        <v>0</v>
      </c>
      <c r="AP418" s="32">
        <f>H418*(1-0)</f>
        <v>0</v>
      </c>
      <c r="AQ418" s="27" t="s">
        <v>7</v>
      </c>
      <c r="AV418" s="32">
        <f>AW418+AX418</f>
        <v>0</v>
      </c>
      <c r="AW418" s="32">
        <f>G418*AO418</f>
        <v>0</v>
      </c>
      <c r="AX418" s="32">
        <f>G418*AP418</f>
        <v>0</v>
      </c>
      <c r="AY418" s="33" t="s">
        <v>877</v>
      </c>
      <c r="AZ418" s="33" t="s">
        <v>890</v>
      </c>
      <c r="BA418" s="28" t="s">
        <v>891</v>
      </c>
      <c r="BC418" s="32">
        <f>AW418+AX418</f>
        <v>0</v>
      </c>
      <c r="BD418" s="32">
        <f>H418/(100-BE418)*100</f>
        <v>0</v>
      </c>
      <c r="BE418" s="32">
        <v>0</v>
      </c>
      <c r="BF418" s="32">
        <f>418</f>
        <v>418</v>
      </c>
      <c r="BH418" s="15">
        <f>G418*AO418</f>
        <v>0</v>
      </c>
      <c r="BI418" s="15">
        <f>G418*AP418</f>
        <v>0</v>
      </c>
      <c r="BJ418" s="15">
        <f>G418*H418</f>
        <v>0</v>
      </c>
    </row>
    <row r="419" spans="1:62" x14ac:dyDescent="0.2">
      <c r="C419" s="57" t="s">
        <v>702</v>
      </c>
      <c r="D419" s="58"/>
      <c r="E419" s="58"/>
      <c r="G419" s="16">
        <v>1887.95</v>
      </c>
    </row>
    <row r="420" spans="1:62" x14ac:dyDescent="0.2">
      <c r="A420" s="5"/>
      <c r="B420" s="13" t="s">
        <v>101</v>
      </c>
      <c r="C420" s="65" t="s">
        <v>703</v>
      </c>
      <c r="D420" s="66"/>
      <c r="E420" s="66"/>
      <c r="F420" s="5" t="s">
        <v>6</v>
      </c>
      <c r="G420" s="5" t="s">
        <v>6</v>
      </c>
      <c r="H420" s="5" t="s">
        <v>6</v>
      </c>
      <c r="I420" s="35">
        <f>SUM(I421:I475)</f>
        <v>0</v>
      </c>
      <c r="J420" s="35">
        <f>SUM(J421:J475)</f>
        <v>0</v>
      </c>
      <c r="K420" s="35">
        <f>SUM(K421:K475)</f>
        <v>0</v>
      </c>
      <c r="L420" s="28"/>
      <c r="AI420" s="28"/>
      <c r="AS420" s="35">
        <f>SUM(AJ421:AJ475)</f>
        <v>0</v>
      </c>
      <c r="AT420" s="35">
        <f>SUM(AK421:AK475)</f>
        <v>0</v>
      </c>
      <c r="AU420" s="35">
        <f>SUM(AL421:AL475)</f>
        <v>0</v>
      </c>
    </row>
    <row r="421" spans="1:62" x14ac:dyDescent="0.2">
      <c r="A421" s="4" t="s">
        <v>123</v>
      </c>
      <c r="B421" s="4" t="s">
        <v>287</v>
      </c>
      <c r="C421" s="59" t="s">
        <v>704</v>
      </c>
      <c r="D421" s="60"/>
      <c r="E421" s="60"/>
      <c r="F421" s="4" t="s">
        <v>818</v>
      </c>
      <c r="G421" s="15">
        <v>20.79</v>
      </c>
      <c r="H421" s="15">
        <v>0</v>
      </c>
      <c r="I421" s="15">
        <f>G421*AO421</f>
        <v>0</v>
      </c>
      <c r="J421" s="15">
        <f>G421*AP421</f>
        <v>0</v>
      </c>
      <c r="K421" s="15">
        <f>G421*H421</f>
        <v>0</v>
      </c>
      <c r="L421" s="27" t="s">
        <v>839</v>
      </c>
      <c r="Z421" s="32">
        <f>IF(AQ421="5",BJ421,0)</f>
        <v>0</v>
      </c>
      <c r="AB421" s="32">
        <f>IF(AQ421="1",BH421,0)</f>
        <v>0</v>
      </c>
      <c r="AC421" s="32">
        <f>IF(AQ421="1",BI421,0)</f>
        <v>0</v>
      </c>
      <c r="AD421" s="32">
        <f>IF(AQ421="7",BH421,0)</f>
        <v>0</v>
      </c>
      <c r="AE421" s="32">
        <f>IF(AQ421="7",BI421,0)</f>
        <v>0</v>
      </c>
      <c r="AF421" s="32">
        <f>IF(AQ421="2",BH421,0)</f>
        <v>0</v>
      </c>
      <c r="AG421" s="32">
        <f>IF(AQ421="2",BI421,0)</f>
        <v>0</v>
      </c>
      <c r="AH421" s="32">
        <f>IF(AQ421="0",BJ421,0)</f>
        <v>0</v>
      </c>
      <c r="AI421" s="28"/>
      <c r="AJ421" s="15">
        <f>IF(AN421=0,K421,0)</f>
        <v>0</v>
      </c>
      <c r="AK421" s="15">
        <f>IF(AN421=15,K421,0)</f>
        <v>0</v>
      </c>
      <c r="AL421" s="15">
        <f>IF(AN421=21,K421,0)</f>
        <v>0</v>
      </c>
      <c r="AN421" s="32">
        <v>21</v>
      </c>
      <c r="AO421" s="32">
        <f>H421*0</f>
        <v>0</v>
      </c>
      <c r="AP421" s="32">
        <f>H421*(1-0)</f>
        <v>0</v>
      </c>
      <c r="AQ421" s="27" t="s">
        <v>7</v>
      </c>
      <c r="AV421" s="32">
        <f>AW421+AX421</f>
        <v>0</v>
      </c>
      <c r="AW421" s="32">
        <f>G421*AO421</f>
        <v>0</v>
      </c>
      <c r="AX421" s="32">
        <f>G421*AP421</f>
        <v>0</v>
      </c>
      <c r="AY421" s="33" t="s">
        <v>878</v>
      </c>
      <c r="AZ421" s="33" t="s">
        <v>890</v>
      </c>
      <c r="BA421" s="28" t="s">
        <v>891</v>
      </c>
      <c r="BC421" s="32">
        <f>AW421+AX421</f>
        <v>0</v>
      </c>
      <c r="BD421" s="32">
        <f>H421/(100-BE421)*100</f>
        <v>0</v>
      </c>
      <c r="BE421" s="32">
        <v>0</v>
      </c>
      <c r="BF421" s="32">
        <f>421</f>
        <v>421</v>
      </c>
      <c r="BH421" s="15">
        <f>G421*AO421</f>
        <v>0</v>
      </c>
      <c r="BI421" s="15">
        <f>G421*AP421</f>
        <v>0</v>
      </c>
      <c r="BJ421" s="15">
        <f>G421*H421</f>
        <v>0</v>
      </c>
    </row>
    <row r="422" spans="1:62" x14ac:dyDescent="0.2">
      <c r="C422" s="57" t="s">
        <v>705</v>
      </c>
      <c r="D422" s="58"/>
      <c r="E422" s="58"/>
      <c r="G422" s="16">
        <v>8.01</v>
      </c>
    </row>
    <row r="423" spans="1:62" x14ac:dyDescent="0.2">
      <c r="C423" s="57" t="s">
        <v>706</v>
      </c>
      <c r="D423" s="58"/>
      <c r="E423" s="58"/>
      <c r="G423" s="16">
        <v>12.78</v>
      </c>
    </row>
    <row r="424" spans="1:62" x14ac:dyDescent="0.2">
      <c r="A424" s="4" t="s">
        <v>124</v>
      </c>
      <c r="B424" s="4" t="s">
        <v>288</v>
      </c>
      <c r="C424" s="59" t="s">
        <v>707</v>
      </c>
      <c r="D424" s="60"/>
      <c r="E424" s="60"/>
      <c r="F424" s="4" t="s">
        <v>817</v>
      </c>
      <c r="G424" s="15">
        <v>24.48</v>
      </c>
      <c r="H424" s="15">
        <v>0</v>
      </c>
      <c r="I424" s="15">
        <f>G424*AO424</f>
        <v>0</v>
      </c>
      <c r="J424" s="15">
        <f>G424*AP424</f>
        <v>0</v>
      </c>
      <c r="K424" s="15">
        <f>G424*H424</f>
        <v>0</v>
      </c>
      <c r="L424" s="27" t="s">
        <v>839</v>
      </c>
      <c r="Z424" s="32">
        <f>IF(AQ424="5",BJ424,0)</f>
        <v>0</v>
      </c>
      <c r="AB424" s="32">
        <f>IF(AQ424="1",BH424,0)</f>
        <v>0</v>
      </c>
      <c r="AC424" s="32">
        <f>IF(AQ424="1",BI424,0)</f>
        <v>0</v>
      </c>
      <c r="AD424" s="32">
        <f>IF(AQ424="7",BH424,0)</f>
        <v>0</v>
      </c>
      <c r="AE424" s="32">
        <f>IF(AQ424="7",BI424,0)</f>
        <v>0</v>
      </c>
      <c r="AF424" s="32">
        <f>IF(AQ424="2",BH424,0)</f>
        <v>0</v>
      </c>
      <c r="AG424" s="32">
        <f>IF(AQ424="2",BI424,0)</f>
        <v>0</v>
      </c>
      <c r="AH424" s="32">
        <f>IF(AQ424="0",BJ424,0)</f>
        <v>0</v>
      </c>
      <c r="AI424" s="28"/>
      <c r="AJ424" s="15">
        <f>IF(AN424=0,K424,0)</f>
        <v>0</v>
      </c>
      <c r="AK424" s="15">
        <f>IF(AN424=15,K424,0)</f>
        <v>0</v>
      </c>
      <c r="AL424" s="15">
        <f>IF(AN424=21,K424,0)</f>
        <v>0</v>
      </c>
      <c r="AN424" s="32">
        <v>21</v>
      </c>
      <c r="AO424" s="32">
        <f>H424*0.0772610911821312</f>
        <v>0</v>
      </c>
      <c r="AP424" s="32">
        <f>H424*(1-0.0772610911821312)</f>
        <v>0</v>
      </c>
      <c r="AQ424" s="27" t="s">
        <v>7</v>
      </c>
      <c r="AV424" s="32">
        <f>AW424+AX424</f>
        <v>0</v>
      </c>
      <c r="AW424" s="32">
        <f>G424*AO424</f>
        <v>0</v>
      </c>
      <c r="AX424" s="32">
        <f>G424*AP424</f>
        <v>0</v>
      </c>
      <c r="AY424" s="33" t="s">
        <v>878</v>
      </c>
      <c r="AZ424" s="33" t="s">
        <v>890</v>
      </c>
      <c r="BA424" s="28" t="s">
        <v>891</v>
      </c>
      <c r="BC424" s="32">
        <f>AW424+AX424</f>
        <v>0</v>
      </c>
      <c r="BD424" s="32">
        <f>H424/(100-BE424)*100</f>
        <v>0</v>
      </c>
      <c r="BE424" s="32">
        <v>0</v>
      </c>
      <c r="BF424" s="32">
        <f>424</f>
        <v>424</v>
      </c>
      <c r="BH424" s="15">
        <f>G424*AO424</f>
        <v>0</v>
      </c>
      <c r="BI424" s="15">
        <f>G424*AP424</f>
        <v>0</v>
      </c>
      <c r="BJ424" s="15">
        <f>G424*H424</f>
        <v>0</v>
      </c>
    </row>
    <row r="425" spans="1:62" x14ac:dyDescent="0.2">
      <c r="C425" s="57" t="s">
        <v>708</v>
      </c>
      <c r="D425" s="58"/>
      <c r="E425" s="58"/>
      <c r="G425" s="16">
        <v>24.48</v>
      </c>
    </row>
    <row r="426" spans="1:62" x14ac:dyDescent="0.2">
      <c r="A426" s="4" t="s">
        <v>125</v>
      </c>
      <c r="B426" s="4" t="s">
        <v>289</v>
      </c>
      <c r="C426" s="59" t="s">
        <v>709</v>
      </c>
      <c r="D426" s="60"/>
      <c r="E426" s="60"/>
      <c r="F426" s="4" t="s">
        <v>820</v>
      </c>
      <c r="G426" s="15">
        <v>194</v>
      </c>
      <c r="H426" s="15">
        <v>0</v>
      </c>
      <c r="I426" s="15">
        <f>G426*AO426</f>
        <v>0</v>
      </c>
      <c r="J426" s="15">
        <f>G426*AP426</f>
        <v>0</v>
      </c>
      <c r="K426" s="15">
        <f>G426*H426</f>
        <v>0</v>
      </c>
      <c r="L426" s="27" t="s">
        <v>839</v>
      </c>
      <c r="Z426" s="32">
        <f>IF(AQ426="5",BJ426,0)</f>
        <v>0</v>
      </c>
      <c r="AB426" s="32">
        <f>IF(AQ426="1",BH426,0)</f>
        <v>0</v>
      </c>
      <c r="AC426" s="32">
        <f>IF(AQ426="1",BI426,0)</f>
        <v>0</v>
      </c>
      <c r="AD426" s="32">
        <f>IF(AQ426="7",BH426,0)</f>
        <v>0</v>
      </c>
      <c r="AE426" s="32">
        <f>IF(AQ426="7",BI426,0)</f>
        <v>0</v>
      </c>
      <c r="AF426" s="32">
        <f>IF(AQ426="2",BH426,0)</f>
        <v>0</v>
      </c>
      <c r="AG426" s="32">
        <f>IF(AQ426="2",BI426,0)</f>
        <v>0</v>
      </c>
      <c r="AH426" s="32">
        <f>IF(AQ426="0",BJ426,0)</f>
        <v>0</v>
      </c>
      <c r="AI426" s="28"/>
      <c r="AJ426" s="15">
        <f>IF(AN426=0,K426,0)</f>
        <v>0</v>
      </c>
      <c r="AK426" s="15">
        <f>IF(AN426=15,K426,0)</f>
        <v>0</v>
      </c>
      <c r="AL426" s="15">
        <f>IF(AN426=21,K426,0)</f>
        <v>0</v>
      </c>
      <c r="AN426" s="32">
        <v>21</v>
      </c>
      <c r="AO426" s="32">
        <f>H426*0</f>
        <v>0</v>
      </c>
      <c r="AP426" s="32">
        <f>H426*(1-0)</f>
        <v>0</v>
      </c>
      <c r="AQ426" s="27" t="s">
        <v>7</v>
      </c>
      <c r="AV426" s="32">
        <f>AW426+AX426</f>
        <v>0</v>
      </c>
      <c r="AW426" s="32">
        <f>G426*AO426</f>
        <v>0</v>
      </c>
      <c r="AX426" s="32">
        <f>G426*AP426</f>
        <v>0</v>
      </c>
      <c r="AY426" s="33" t="s">
        <v>878</v>
      </c>
      <c r="AZ426" s="33" t="s">
        <v>890</v>
      </c>
      <c r="BA426" s="28" t="s">
        <v>891</v>
      </c>
      <c r="BC426" s="32">
        <f>AW426+AX426</f>
        <v>0</v>
      </c>
      <c r="BD426" s="32">
        <f>H426/(100-BE426)*100</f>
        <v>0</v>
      </c>
      <c r="BE426" s="32">
        <v>0</v>
      </c>
      <c r="BF426" s="32">
        <f>426</f>
        <v>426</v>
      </c>
      <c r="BH426" s="15">
        <f>G426*AO426</f>
        <v>0</v>
      </c>
      <c r="BI426" s="15">
        <f>G426*AP426</f>
        <v>0</v>
      </c>
      <c r="BJ426" s="15">
        <f>G426*H426</f>
        <v>0</v>
      </c>
    </row>
    <row r="427" spans="1:62" x14ac:dyDescent="0.2">
      <c r="C427" s="57" t="s">
        <v>710</v>
      </c>
      <c r="D427" s="58"/>
      <c r="E427" s="58"/>
      <c r="G427" s="16">
        <v>1</v>
      </c>
    </row>
    <row r="428" spans="1:62" x14ac:dyDescent="0.2">
      <c r="C428" s="57" t="s">
        <v>711</v>
      </c>
      <c r="D428" s="58"/>
      <c r="E428" s="58"/>
      <c r="G428" s="16">
        <v>1</v>
      </c>
    </row>
    <row r="429" spans="1:62" x14ac:dyDescent="0.2">
      <c r="C429" s="57" t="s">
        <v>712</v>
      </c>
      <c r="D429" s="58"/>
      <c r="E429" s="58"/>
      <c r="G429" s="16">
        <v>21</v>
      </c>
    </row>
    <row r="430" spans="1:62" x14ac:dyDescent="0.2">
      <c r="C430" s="57" t="s">
        <v>713</v>
      </c>
      <c r="D430" s="58"/>
      <c r="E430" s="58"/>
      <c r="G430" s="16">
        <v>2</v>
      </c>
    </row>
    <row r="431" spans="1:62" x14ac:dyDescent="0.2">
      <c r="C431" s="57" t="s">
        <v>714</v>
      </c>
      <c r="D431" s="58"/>
      <c r="E431" s="58"/>
      <c r="G431" s="16">
        <v>49</v>
      </c>
    </row>
    <row r="432" spans="1:62" x14ac:dyDescent="0.2">
      <c r="C432" s="57" t="s">
        <v>715</v>
      </c>
      <c r="D432" s="58"/>
      <c r="E432" s="58"/>
      <c r="G432" s="16">
        <v>1</v>
      </c>
    </row>
    <row r="433" spans="1:62" x14ac:dyDescent="0.2">
      <c r="C433" s="57" t="s">
        <v>716</v>
      </c>
      <c r="D433" s="58"/>
      <c r="E433" s="58"/>
      <c r="G433" s="16">
        <v>5</v>
      </c>
    </row>
    <row r="434" spans="1:62" x14ac:dyDescent="0.2">
      <c r="C434" s="57" t="s">
        <v>717</v>
      </c>
      <c r="D434" s="58"/>
      <c r="E434" s="58"/>
      <c r="G434" s="16">
        <v>6</v>
      </c>
    </row>
    <row r="435" spans="1:62" x14ac:dyDescent="0.2">
      <c r="C435" s="57" t="s">
        <v>718</v>
      </c>
      <c r="D435" s="58"/>
      <c r="E435" s="58"/>
      <c r="G435" s="16">
        <v>2</v>
      </c>
    </row>
    <row r="436" spans="1:62" x14ac:dyDescent="0.2">
      <c r="C436" s="57" t="s">
        <v>719</v>
      </c>
      <c r="D436" s="58"/>
      <c r="E436" s="58"/>
      <c r="G436" s="16">
        <v>16</v>
      </c>
    </row>
    <row r="437" spans="1:62" x14ac:dyDescent="0.2">
      <c r="C437" s="57" t="s">
        <v>720</v>
      </c>
      <c r="D437" s="58"/>
      <c r="E437" s="58"/>
      <c r="G437" s="16">
        <v>87</v>
      </c>
    </row>
    <row r="438" spans="1:62" x14ac:dyDescent="0.2">
      <c r="C438" s="57" t="s">
        <v>721</v>
      </c>
      <c r="D438" s="58"/>
      <c r="E438" s="58"/>
      <c r="G438" s="16">
        <v>1</v>
      </c>
    </row>
    <row r="439" spans="1:62" x14ac:dyDescent="0.2">
      <c r="C439" s="57" t="s">
        <v>722</v>
      </c>
      <c r="D439" s="58"/>
      <c r="E439" s="58"/>
      <c r="G439" s="16">
        <v>2</v>
      </c>
    </row>
    <row r="440" spans="1:62" x14ac:dyDescent="0.2">
      <c r="A440" s="4" t="s">
        <v>126</v>
      </c>
      <c r="B440" s="4" t="s">
        <v>290</v>
      </c>
      <c r="C440" s="59" t="s">
        <v>723</v>
      </c>
      <c r="D440" s="60"/>
      <c r="E440" s="60"/>
      <c r="F440" s="4" t="s">
        <v>817</v>
      </c>
      <c r="G440" s="15">
        <v>2.04</v>
      </c>
      <c r="H440" s="15">
        <v>0</v>
      </c>
      <c r="I440" s="15">
        <f>G440*AO440</f>
        <v>0</v>
      </c>
      <c r="J440" s="15">
        <f>G440*AP440</f>
        <v>0</v>
      </c>
      <c r="K440" s="15">
        <f>G440*H440</f>
        <v>0</v>
      </c>
      <c r="L440" s="27" t="s">
        <v>839</v>
      </c>
      <c r="Z440" s="32">
        <f>IF(AQ440="5",BJ440,0)</f>
        <v>0</v>
      </c>
      <c r="AB440" s="32">
        <f>IF(AQ440="1",BH440,0)</f>
        <v>0</v>
      </c>
      <c r="AC440" s="32">
        <f>IF(AQ440="1",BI440,0)</f>
        <v>0</v>
      </c>
      <c r="AD440" s="32">
        <f>IF(AQ440="7",BH440,0)</f>
        <v>0</v>
      </c>
      <c r="AE440" s="32">
        <f>IF(AQ440="7",BI440,0)</f>
        <v>0</v>
      </c>
      <c r="AF440" s="32">
        <f>IF(AQ440="2",BH440,0)</f>
        <v>0</v>
      </c>
      <c r="AG440" s="32">
        <f>IF(AQ440="2",BI440,0)</f>
        <v>0</v>
      </c>
      <c r="AH440" s="32">
        <f>IF(AQ440="0",BJ440,0)</f>
        <v>0</v>
      </c>
      <c r="AI440" s="28"/>
      <c r="AJ440" s="15">
        <f>IF(AN440=0,K440,0)</f>
        <v>0</v>
      </c>
      <c r="AK440" s="15">
        <f>IF(AN440=15,K440,0)</f>
        <v>0</v>
      </c>
      <c r="AL440" s="15">
        <f>IF(AN440=21,K440,0)</f>
        <v>0</v>
      </c>
      <c r="AN440" s="32">
        <v>21</v>
      </c>
      <c r="AO440" s="32">
        <f>H440*0.205795918367347</f>
        <v>0</v>
      </c>
      <c r="AP440" s="32">
        <f>H440*(1-0.205795918367347)</f>
        <v>0</v>
      </c>
      <c r="AQ440" s="27" t="s">
        <v>7</v>
      </c>
      <c r="AV440" s="32">
        <f>AW440+AX440</f>
        <v>0</v>
      </c>
      <c r="AW440" s="32">
        <f>G440*AO440</f>
        <v>0</v>
      </c>
      <c r="AX440" s="32">
        <f>G440*AP440</f>
        <v>0</v>
      </c>
      <c r="AY440" s="33" t="s">
        <v>878</v>
      </c>
      <c r="AZ440" s="33" t="s">
        <v>890</v>
      </c>
      <c r="BA440" s="28" t="s">
        <v>891</v>
      </c>
      <c r="BC440" s="32">
        <f>AW440+AX440</f>
        <v>0</v>
      </c>
      <c r="BD440" s="32">
        <f>H440/(100-BE440)*100</f>
        <v>0</v>
      </c>
      <c r="BE440" s="32">
        <v>0</v>
      </c>
      <c r="BF440" s="32">
        <f>440</f>
        <v>440</v>
      </c>
      <c r="BH440" s="15">
        <f>G440*AO440</f>
        <v>0</v>
      </c>
      <c r="BI440" s="15">
        <f>G440*AP440</f>
        <v>0</v>
      </c>
      <c r="BJ440" s="15">
        <f>G440*H440</f>
        <v>0</v>
      </c>
    </row>
    <row r="441" spans="1:62" x14ac:dyDescent="0.2">
      <c r="C441" s="57" t="s">
        <v>724</v>
      </c>
      <c r="D441" s="58"/>
      <c r="E441" s="58"/>
      <c r="G441" s="16">
        <v>0.72</v>
      </c>
    </row>
    <row r="442" spans="1:62" x14ac:dyDescent="0.2">
      <c r="C442" s="57" t="s">
        <v>725</v>
      </c>
      <c r="D442" s="58"/>
      <c r="E442" s="58"/>
      <c r="G442" s="16">
        <v>0.36</v>
      </c>
    </row>
    <row r="443" spans="1:62" x14ac:dyDescent="0.2">
      <c r="C443" s="57" t="s">
        <v>726</v>
      </c>
      <c r="D443" s="58"/>
      <c r="E443" s="58"/>
      <c r="G443" s="16">
        <v>0.96</v>
      </c>
    </row>
    <row r="444" spans="1:62" x14ac:dyDescent="0.2">
      <c r="A444" s="4" t="s">
        <v>127</v>
      </c>
      <c r="B444" s="4" t="s">
        <v>291</v>
      </c>
      <c r="C444" s="59" t="s">
        <v>727</v>
      </c>
      <c r="D444" s="60"/>
      <c r="E444" s="60"/>
      <c r="F444" s="4" t="s">
        <v>820</v>
      </c>
      <c r="G444" s="15">
        <v>84</v>
      </c>
      <c r="H444" s="15">
        <v>0</v>
      </c>
      <c r="I444" s="15">
        <f>G444*AO444</f>
        <v>0</v>
      </c>
      <c r="J444" s="15">
        <f>G444*AP444</f>
        <v>0</v>
      </c>
      <c r="K444" s="15">
        <f>G444*H444</f>
        <v>0</v>
      </c>
      <c r="L444" s="27" t="s">
        <v>839</v>
      </c>
      <c r="Z444" s="32">
        <f>IF(AQ444="5",BJ444,0)</f>
        <v>0</v>
      </c>
      <c r="AB444" s="32">
        <f>IF(AQ444="1",BH444,0)</f>
        <v>0</v>
      </c>
      <c r="AC444" s="32">
        <f>IF(AQ444="1",BI444,0)</f>
        <v>0</v>
      </c>
      <c r="AD444" s="32">
        <f>IF(AQ444="7",BH444,0)</f>
        <v>0</v>
      </c>
      <c r="AE444" s="32">
        <f>IF(AQ444="7",BI444,0)</f>
        <v>0</v>
      </c>
      <c r="AF444" s="32">
        <f>IF(AQ444="2",BH444,0)</f>
        <v>0</v>
      </c>
      <c r="AG444" s="32">
        <f>IF(AQ444="2",BI444,0)</f>
        <v>0</v>
      </c>
      <c r="AH444" s="32">
        <f>IF(AQ444="0",BJ444,0)</f>
        <v>0</v>
      </c>
      <c r="AI444" s="28"/>
      <c r="AJ444" s="15">
        <f>IF(AN444=0,K444,0)</f>
        <v>0</v>
      </c>
      <c r="AK444" s="15">
        <f>IF(AN444=15,K444,0)</f>
        <v>0</v>
      </c>
      <c r="AL444" s="15">
        <f>IF(AN444=21,K444,0)</f>
        <v>0</v>
      </c>
      <c r="AN444" s="32">
        <v>21</v>
      </c>
      <c r="AO444" s="32">
        <f>H444*0</f>
        <v>0</v>
      </c>
      <c r="AP444" s="32">
        <f>H444*(1-0)</f>
        <v>0</v>
      </c>
      <c r="AQ444" s="27" t="s">
        <v>7</v>
      </c>
      <c r="AV444" s="32">
        <f>AW444+AX444</f>
        <v>0</v>
      </c>
      <c r="AW444" s="32">
        <f>G444*AO444</f>
        <v>0</v>
      </c>
      <c r="AX444" s="32">
        <f>G444*AP444</f>
        <v>0</v>
      </c>
      <c r="AY444" s="33" t="s">
        <v>878</v>
      </c>
      <c r="AZ444" s="33" t="s">
        <v>890</v>
      </c>
      <c r="BA444" s="28" t="s">
        <v>891</v>
      </c>
      <c r="BC444" s="32">
        <f>AW444+AX444</f>
        <v>0</v>
      </c>
      <c r="BD444" s="32">
        <f>H444/(100-BE444)*100</f>
        <v>0</v>
      </c>
      <c r="BE444" s="32">
        <v>0</v>
      </c>
      <c r="BF444" s="32">
        <f>444</f>
        <v>444</v>
      </c>
      <c r="BH444" s="15">
        <f>G444*AO444</f>
        <v>0</v>
      </c>
      <c r="BI444" s="15">
        <f>G444*AP444</f>
        <v>0</v>
      </c>
      <c r="BJ444" s="15">
        <f>G444*H444</f>
        <v>0</v>
      </c>
    </row>
    <row r="445" spans="1:62" x14ac:dyDescent="0.2">
      <c r="C445" s="57" t="s">
        <v>728</v>
      </c>
      <c r="D445" s="58"/>
      <c r="E445" s="58"/>
      <c r="G445" s="16">
        <v>7</v>
      </c>
    </row>
    <row r="446" spans="1:62" x14ac:dyDescent="0.2">
      <c r="C446" s="57" t="s">
        <v>713</v>
      </c>
      <c r="D446" s="58"/>
      <c r="E446" s="58"/>
      <c r="G446" s="16">
        <v>2</v>
      </c>
    </row>
    <row r="447" spans="1:62" x14ac:dyDescent="0.2">
      <c r="C447" s="57" t="s">
        <v>729</v>
      </c>
      <c r="D447" s="58"/>
      <c r="E447" s="58"/>
      <c r="G447" s="16">
        <v>21</v>
      </c>
    </row>
    <row r="448" spans="1:62" x14ac:dyDescent="0.2">
      <c r="C448" s="57" t="s">
        <v>715</v>
      </c>
      <c r="D448" s="58"/>
      <c r="E448" s="58"/>
      <c r="G448" s="16">
        <v>1</v>
      </c>
    </row>
    <row r="449" spans="1:62" x14ac:dyDescent="0.2">
      <c r="C449" s="57" t="s">
        <v>716</v>
      </c>
      <c r="D449" s="58"/>
      <c r="E449" s="58"/>
      <c r="G449" s="16">
        <v>5</v>
      </c>
    </row>
    <row r="450" spans="1:62" x14ac:dyDescent="0.2">
      <c r="C450" s="57" t="s">
        <v>719</v>
      </c>
      <c r="D450" s="58"/>
      <c r="E450" s="58"/>
      <c r="G450" s="16">
        <v>16</v>
      </c>
    </row>
    <row r="451" spans="1:62" x14ac:dyDescent="0.2">
      <c r="C451" s="57" t="s">
        <v>730</v>
      </c>
      <c r="D451" s="58"/>
      <c r="E451" s="58"/>
      <c r="G451" s="16">
        <v>29</v>
      </c>
    </row>
    <row r="452" spans="1:62" x14ac:dyDescent="0.2">
      <c r="C452" s="57" t="s">
        <v>731</v>
      </c>
      <c r="D452" s="58"/>
      <c r="E452" s="58"/>
      <c r="G452" s="16">
        <v>3</v>
      </c>
    </row>
    <row r="453" spans="1:62" x14ac:dyDescent="0.2">
      <c r="A453" s="4" t="s">
        <v>128</v>
      </c>
      <c r="B453" s="4" t="s">
        <v>292</v>
      </c>
      <c r="C453" s="59" t="s">
        <v>732</v>
      </c>
      <c r="D453" s="60"/>
      <c r="E453" s="60"/>
      <c r="F453" s="4" t="s">
        <v>817</v>
      </c>
      <c r="G453" s="15">
        <v>1.35</v>
      </c>
      <c r="H453" s="15">
        <v>0</v>
      </c>
      <c r="I453" s="15">
        <f>G453*AO453</f>
        <v>0</v>
      </c>
      <c r="J453" s="15">
        <f>G453*AP453</f>
        <v>0</v>
      </c>
      <c r="K453" s="15">
        <f>G453*H453</f>
        <v>0</v>
      </c>
      <c r="L453" s="27" t="s">
        <v>839</v>
      </c>
      <c r="Z453" s="32">
        <f>IF(AQ453="5",BJ453,0)</f>
        <v>0</v>
      </c>
      <c r="AB453" s="32">
        <f>IF(AQ453="1",BH453,0)</f>
        <v>0</v>
      </c>
      <c r="AC453" s="32">
        <f>IF(AQ453="1",BI453,0)</f>
        <v>0</v>
      </c>
      <c r="AD453" s="32">
        <f>IF(AQ453="7",BH453,0)</f>
        <v>0</v>
      </c>
      <c r="AE453" s="32">
        <f>IF(AQ453="7",BI453,0)</f>
        <v>0</v>
      </c>
      <c r="AF453" s="32">
        <f>IF(AQ453="2",BH453,0)</f>
        <v>0</v>
      </c>
      <c r="AG453" s="32">
        <f>IF(AQ453="2",BI453,0)</f>
        <v>0</v>
      </c>
      <c r="AH453" s="32">
        <f>IF(AQ453="0",BJ453,0)</f>
        <v>0</v>
      </c>
      <c r="AI453" s="28"/>
      <c r="AJ453" s="15">
        <f>IF(AN453=0,K453,0)</f>
        <v>0</v>
      </c>
      <c r="AK453" s="15">
        <f>IF(AN453=15,K453,0)</f>
        <v>0</v>
      </c>
      <c r="AL453" s="15">
        <f>IF(AN453=21,K453,0)</f>
        <v>0</v>
      </c>
      <c r="AN453" s="32">
        <v>21</v>
      </c>
      <c r="AO453" s="32">
        <f>H453*0.158063530849114</f>
        <v>0</v>
      </c>
      <c r="AP453" s="32">
        <f>H453*(1-0.158063530849114)</f>
        <v>0</v>
      </c>
      <c r="AQ453" s="27" t="s">
        <v>7</v>
      </c>
      <c r="AV453" s="32">
        <f>AW453+AX453</f>
        <v>0</v>
      </c>
      <c r="AW453" s="32">
        <f>G453*AO453</f>
        <v>0</v>
      </c>
      <c r="AX453" s="32">
        <f>G453*AP453</f>
        <v>0</v>
      </c>
      <c r="AY453" s="33" t="s">
        <v>878</v>
      </c>
      <c r="AZ453" s="33" t="s">
        <v>890</v>
      </c>
      <c r="BA453" s="28" t="s">
        <v>891</v>
      </c>
      <c r="BC453" s="32">
        <f>AW453+AX453</f>
        <v>0</v>
      </c>
      <c r="BD453" s="32">
        <f>H453/(100-BE453)*100</f>
        <v>0</v>
      </c>
      <c r="BE453" s="32">
        <v>0</v>
      </c>
      <c r="BF453" s="32">
        <f>453</f>
        <v>453</v>
      </c>
      <c r="BH453" s="15">
        <f>G453*AO453</f>
        <v>0</v>
      </c>
      <c r="BI453" s="15">
        <f>G453*AP453</f>
        <v>0</v>
      </c>
      <c r="BJ453" s="15">
        <f>G453*H453</f>
        <v>0</v>
      </c>
    </row>
    <row r="454" spans="1:62" x14ac:dyDescent="0.2">
      <c r="C454" s="57" t="s">
        <v>733</v>
      </c>
      <c r="D454" s="58"/>
      <c r="E454" s="58"/>
      <c r="G454" s="16">
        <v>1.35</v>
      </c>
    </row>
    <row r="455" spans="1:62" x14ac:dyDescent="0.2">
      <c r="A455" s="4" t="s">
        <v>129</v>
      </c>
      <c r="B455" s="4" t="s">
        <v>293</v>
      </c>
      <c r="C455" s="59" t="s">
        <v>734</v>
      </c>
      <c r="D455" s="60"/>
      <c r="E455" s="60"/>
      <c r="F455" s="4" t="s">
        <v>817</v>
      </c>
      <c r="G455" s="15">
        <v>281.7</v>
      </c>
      <c r="H455" s="15">
        <v>0</v>
      </c>
      <c r="I455" s="15">
        <f>G455*AO455</f>
        <v>0</v>
      </c>
      <c r="J455" s="15">
        <f>G455*AP455</f>
        <v>0</v>
      </c>
      <c r="K455" s="15">
        <f>G455*H455</f>
        <v>0</v>
      </c>
      <c r="L455" s="27" t="s">
        <v>839</v>
      </c>
      <c r="Z455" s="32">
        <f>IF(AQ455="5",BJ455,0)</f>
        <v>0</v>
      </c>
      <c r="AB455" s="32">
        <f>IF(AQ455="1",BH455,0)</f>
        <v>0</v>
      </c>
      <c r="AC455" s="32">
        <f>IF(AQ455="1",BI455,0)</f>
        <v>0</v>
      </c>
      <c r="AD455" s="32">
        <f>IF(AQ455="7",BH455,0)</f>
        <v>0</v>
      </c>
      <c r="AE455" s="32">
        <f>IF(AQ455="7",BI455,0)</f>
        <v>0</v>
      </c>
      <c r="AF455" s="32">
        <f>IF(AQ455="2",BH455,0)</f>
        <v>0</v>
      </c>
      <c r="AG455" s="32">
        <f>IF(AQ455="2",BI455,0)</f>
        <v>0</v>
      </c>
      <c r="AH455" s="32">
        <f>IF(AQ455="0",BJ455,0)</f>
        <v>0</v>
      </c>
      <c r="AI455" s="28"/>
      <c r="AJ455" s="15">
        <f>IF(AN455=0,K455,0)</f>
        <v>0</v>
      </c>
      <c r="AK455" s="15">
        <f>IF(AN455=15,K455,0)</f>
        <v>0</v>
      </c>
      <c r="AL455" s="15">
        <f>IF(AN455=21,K455,0)</f>
        <v>0</v>
      </c>
      <c r="AN455" s="32">
        <v>21</v>
      </c>
      <c r="AO455" s="32">
        <f>H455*0.190808080808081</f>
        <v>0</v>
      </c>
      <c r="AP455" s="32">
        <f>H455*(1-0.190808080808081)</f>
        <v>0</v>
      </c>
      <c r="AQ455" s="27" t="s">
        <v>7</v>
      </c>
      <c r="AV455" s="32">
        <f>AW455+AX455</f>
        <v>0</v>
      </c>
      <c r="AW455" s="32">
        <f>G455*AO455</f>
        <v>0</v>
      </c>
      <c r="AX455" s="32">
        <f>G455*AP455</f>
        <v>0</v>
      </c>
      <c r="AY455" s="33" t="s">
        <v>878</v>
      </c>
      <c r="AZ455" s="33" t="s">
        <v>890</v>
      </c>
      <c r="BA455" s="28" t="s">
        <v>891</v>
      </c>
      <c r="BC455" s="32">
        <f>AW455+AX455</f>
        <v>0</v>
      </c>
      <c r="BD455" s="32">
        <f>H455/(100-BE455)*100</f>
        <v>0</v>
      </c>
      <c r="BE455" s="32">
        <v>0</v>
      </c>
      <c r="BF455" s="32">
        <f>455</f>
        <v>455</v>
      </c>
      <c r="BH455" s="15">
        <f>G455*AO455</f>
        <v>0</v>
      </c>
      <c r="BI455" s="15">
        <f>G455*AP455</f>
        <v>0</v>
      </c>
      <c r="BJ455" s="15">
        <f>G455*H455</f>
        <v>0</v>
      </c>
    </row>
    <row r="456" spans="1:62" x14ac:dyDescent="0.2">
      <c r="C456" s="57" t="s">
        <v>735</v>
      </c>
      <c r="D456" s="58"/>
      <c r="E456" s="58"/>
      <c r="G456" s="16">
        <v>35.28</v>
      </c>
    </row>
    <row r="457" spans="1:62" x14ac:dyDescent="0.2">
      <c r="C457" s="57" t="s">
        <v>736</v>
      </c>
      <c r="D457" s="58"/>
      <c r="E457" s="58"/>
      <c r="G457" s="16">
        <v>79.38</v>
      </c>
    </row>
    <row r="458" spans="1:62" x14ac:dyDescent="0.2">
      <c r="C458" s="57" t="s">
        <v>737</v>
      </c>
      <c r="D458" s="58"/>
      <c r="E458" s="58"/>
      <c r="G458" s="16">
        <v>167.04</v>
      </c>
    </row>
    <row r="459" spans="1:62" x14ac:dyDescent="0.2">
      <c r="A459" s="4" t="s">
        <v>130</v>
      </c>
      <c r="B459" s="4" t="s">
        <v>294</v>
      </c>
      <c r="C459" s="59" t="s">
        <v>738</v>
      </c>
      <c r="D459" s="60"/>
      <c r="E459" s="60"/>
      <c r="F459" s="4" t="s">
        <v>817</v>
      </c>
      <c r="G459" s="15">
        <v>95.49</v>
      </c>
      <c r="H459" s="15">
        <v>0</v>
      </c>
      <c r="I459" s="15">
        <f>G459*AO459</f>
        <v>0</v>
      </c>
      <c r="J459" s="15">
        <f>G459*AP459</f>
        <v>0</v>
      </c>
      <c r="K459" s="15">
        <f>G459*H459</f>
        <v>0</v>
      </c>
      <c r="L459" s="27" t="s">
        <v>839</v>
      </c>
      <c r="Z459" s="32">
        <f>IF(AQ459="5",BJ459,0)</f>
        <v>0</v>
      </c>
      <c r="AB459" s="32">
        <f>IF(AQ459="1",BH459,0)</f>
        <v>0</v>
      </c>
      <c r="AC459" s="32">
        <f>IF(AQ459="1",BI459,0)</f>
        <v>0</v>
      </c>
      <c r="AD459" s="32">
        <f>IF(AQ459="7",BH459,0)</f>
        <v>0</v>
      </c>
      <c r="AE459" s="32">
        <f>IF(AQ459="7",BI459,0)</f>
        <v>0</v>
      </c>
      <c r="AF459" s="32">
        <f>IF(AQ459="2",BH459,0)</f>
        <v>0</v>
      </c>
      <c r="AG459" s="32">
        <f>IF(AQ459="2",BI459,0)</f>
        <v>0</v>
      </c>
      <c r="AH459" s="32">
        <f>IF(AQ459="0",BJ459,0)</f>
        <v>0</v>
      </c>
      <c r="AI459" s="28"/>
      <c r="AJ459" s="15">
        <f>IF(AN459=0,K459,0)</f>
        <v>0</v>
      </c>
      <c r="AK459" s="15">
        <f>IF(AN459=15,K459,0)</f>
        <v>0</v>
      </c>
      <c r="AL459" s="15">
        <f>IF(AN459=21,K459,0)</f>
        <v>0</v>
      </c>
      <c r="AN459" s="32">
        <v>21</v>
      </c>
      <c r="AO459" s="32">
        <f>H459*0.177731092436975</f>
        <v>0</v>
      </c>
      <c r="AP459" s="32">
        <f>H459*(1-0.177731092436975)</f>
        <v>0</v>
      </c>
      <c r="AQ459" s="27" t="s">
        <v>7</v>
      </c>
      <c r="AV459" s="32">
        <f>AW459+AX459</f>
        <v>0</v>
      </c>
      <c r="AW459" s="32">
        <f>G459*AO459</f>
        <v>0</v>
      </c>
      <c r="AX459" s="32">
        <f>G459*AP459</f>
        <v>0</v>
      </c>
      <c r="AY459" s="33" t="s">
        <v>878</v>
      </c>
      <c r="AZ459" s="33" t="s">
        <v>890</v>
      </c>
      <c r="BA459" s="28" t="s">
        <v>891</v>
      </c>
      <c r="BC459" s="32">
        <f>AW459+AX459</f>
        <v>0</v>
      </c>
      <c r="BD459" s="32">
        <f>H459/(100-BE459)*100</f>
        <v>0</v>
      </c>
      <c r="BE459" s="32">
        <v>0</v>
      </c>
      <c r="BF459" s="32">
        <f>459</f>
        <v>459</v>
      </c>
      <c r="BH459" s="15">
        <f>G459*AO459</f>
        <v>0</v>
      </c>
      <c r="BI459" s="15">
        <f>G459*AP459</f>
        <v>0</v>
      </c>
      <c r="BJ459" s="15">
        <f>G459*H459</f>
        <v>0</v>
      </c>
    </row>
    <row r="460" spans="1:62" x14ac:dyDescent="0.2">
      <c r="C460" s="57" t="s">
        <v>739</v>
      </c>
      <c r="D460" s="58"/>
      <c r="E460" s="58"/>
      <c r="G460" s="16">
        <v>6.3</v>
      </c>
    </row>
    <row r="461" spans="1:62" x14ac:dyDescent="0.2">
      <c r="C461" s="57" t="s">
        <v>740</v>
      </c>
      <c r="D461" s="58"/>
      <c r="E461" s="58"/>
      <c r="G461" s="16">
        <v>2.88</v>
      </c>
    </row>
    <row r="462" spans="1:62" x14ac:dyDescent="0.2">
      <c r="C462" s="57" t="s">
        <v>741</v>
      </c>
      <c r="D462" s="58"/>
      <c r="E462" s="58"/>
      <c r="G462" s="16">
        <v>12.6</v>
      </c>
    </row>
    <row r="463" spans="1:62" x14ac:dyDescent="0.2">
      <c r="C463" s="57" t="s">
        <v>742</v>
      </c>
      <c r="D463" s="58"/>
      <c r="E463" s="58"/>
      <c r="G463" s="16">
        <v>7.2</v>
      </c>
    </row>
    <row r="464" spans="1:62" x14ac:dyDescent="0.2">
      <c r="C464" s="57" t="s">
        <v>743</v>
      </c>
      <c r="D464" s="58"/>
      <c r="E464" s="58"/>
      <c r="G464" s="16">
        <v>57.6</v>
      </c>
    </row>
    <row r="465" spans="1:62" x14ac:dyDescent="0.2">
      <c r="C465" s="57" t="s">
        <v>744</v>
      </c>
      <c r="D465" s="58"/>
      <c r="E465" s="58"/>
      <c r="G465" s="16">
        <v>6.75</v>
      </c>
    </row>
    <row r="466" spans="1:62" x14ac:dyDescent="0.2">
      <c r="C466" s="57" t="s">
        <v>745</v>
      </c>
      <c r="D466" s="58"/>
      <c r="E466" s="58"/>
      <c r="G466" s="16">
        <v>2.16</v>
      </c>
    </row>
    <row r="467" spans="1:62" x14ac:dyDescent="0.2">
      <c r="A467" s="4" t="s">
        <v>131</v>
      </c>
      <c r="B467" s="4" t="s">
        <v>295</v>
      </c>
      <c r="C467" s="59" t="s">
        <v>746</v>
      </c>
      <c r="D467" s="60"/>
      <c r="E467" s="60"/>
      <c r="F467" s="4" t="s">
        <v>820</v>
      </c>
      <c r="G467" s="15">
        <v>2</v>
      </c>
      <c r="H467" s="15">
        <v>0</v>
      </c>
      <c r="I467" s="15">
        <f>G467*AO467</f>
        <v>0</v>
      </c>
      <c r="J467" s="15">
        <f>G467*AP467</f>
        <v>0</v>
      </c>
      <c r="K467" s="15">
        <f>G467*H467</f>
        <v>0</v>
      </c>
      <c r="L467" s="27" t="s">
        <v>839</v>
      </c>
      <c r="Z467" s="32">
        <f>IF(AQ467="5",BJ467,0)</f>
        <v>0</v>
      </c>
      <c r="AB467" s="32">
        <f>IF(AQ467="1",BH467,0)</f>
        <v>0</v>
      </c>
      <c r="AC467" s="32">
        <f>IF(AQ467="1",BI467,0)</f>
        <v>0</v>
      </c>
      <c r="AD467" s="32">
        <f>IF(AQ467="7",BH467,0)</f>
        <v>0</v>
      </c>
      <c r="AE467" s="32">
        <f>IF(AQ467="7",BI467,0)</f>
        <v>0</v>
      </c>
      <c r="AF467" s="32">
        <f>IF(AQ467="2",BH467,0)</f>
        <v>0</v>
      </c>
      <c r="AG467" s="32">
        <f>IF(AQ467="2",BI467,0)</f>
        <v>0</v>
      </c>
      <c r="AH467" s="32">
        <f>IF(AQ467="0",BJ467,0)</f>
        <v>0</v>
      </c>
      <c r="AI467" s="28"/>
      <c r="AJ467" s="15">
        <f>IF(AN467=0,K467,0)</f>
        <v>0</v>
      </c>
      <c r="AK467" s="15">
        <f>IF(AN467=15,K467,0)</f>
        <v>0</v>
      </c>
      <c r="AL467" s="15">
        <f>IF(AN467=21,K467,0)</f>
        <v>0</v>
      </c>
      <c r="AN467" s="32">
        <v>21</v>
      </c>
      <c r="AO467" s="32">
        <f>H467*0</f>
        <v>0</v>
      </c>
      <c r="AP467" s="32">
        <f>H467*(1-0)</f>
        <v>0</v>
      </c>
      <c r="AQ467" s="27" t="s">
        <v>7</v>
      </c>
      <c r="AV467" s="32">
        <f>AW467+AX467</f>
        <v>0</v>
      </c>
      <c r="AW467" s="32">
        <f>G467*AO467</f>
        <v>0</v>
      </c>
      <c r="AX467" s="32">
        <f>G467*AP467</f>
        <v>0</v>
      </c>
      <c r="AY467" s="33" t="s">
        <v>878</v>
      </c>
      <c r="AZ467" s="33" t="s">
        <v>890</v>
      </c>
      <c r="BA467" s="28" t="s">
        <v>891</v>
      </c>
      <c r="BC467" s="32">
        <f>AW467+AX467</f>
        <v>0</v>
      </c>
      <c r="BD467" s="32">
        <f>H467/(100-BE467)*100</f>
        <v>0</v>
      </c>
      <c r="BE467" s="32">
        <v>0</v>
      </c>
      <c r="BF467" s="32">
        <f>467</f>
        <v>467</v>
      </c>
      <c r="BH467" s="15">
        <f>G467*AO467</f>
        <v>0</v>
      </c>
      <c r="BI467" s="15">
        <f>G467*AP467</f>
        <v>0</v>
      </c>
      <c r="BJ467" s="15">
        <f>G467*H467</f>
        <v>0</v>
      </c>
    </row>
    <row r="468" spans="1:62" x14ac:dyDescent="0.2">
      <c r="C468" s="57" t="s">
        <v>747</v>
      </c>
      <c r="D468" s="58"/>
      <c r="E468" s="58"/>
      <c r="G468" s="16">
        <v>2</v>
      </c>
    </row>
    <row r="469" spans="1:62" x14ac:dyDescent="0.2">
      <c r="A469" s="4" t="s">
        <v>132</v>
      </c>
      <c r="B469" s="4" t="s">
        <v>296</v>
      </c>
      <c r="C469" s="59" t="s">
        <v>748</v>
      </c>
      <c r="D469" s="60"/>
      <c r="E469" s="60"/>
      <c r="F469" s="4" t="s">
        <v>820</v>
      </c>
      <c r="G469" s="15">
        <v>3.5459999999999998</v>
      </c>
      <c r="H469" s="15">
        <v>0</v>
      </c>
      <c r="I469" s="15">
        <f>G469*AO469</f>
        <v>0</v>
      </c>
      <c r="J469" s="15">
        <f>G469*AP469</f>
        <v>0</v>
      </c>
      <c r="K469" s="15">
        <f>G469*H469</f>
        <v>0</v>
      </c>
      <c r="L469" s="27" t="s">
        <v>839</v>
      </c>
      <c r="Z469" s="32">
        <f>IF(AQ469="5",BJ469,0)</f>
        <v>0</v>
      </c>
      <c r="AB469" s="32">
        <f>IF(AQ469="1",BH469,0)</f>
        <v>0</v>
      </c>
      <c r="AC469" s="32">
        <f>IF(AQ469="1",BI469,0)</f>
        <v>0</v>
      </c>
      <c r="AD469" s="32">
        <f>IF(AQ469="7",BH469,0)</f>
        <v>0</v>
      </c>
      <c r="AE469" s="32">
        <f>IF(AQ469="7",BI469,0)</f>
        <v>0</v>
      </c>
      <c r="AF469" s="32">
        <f>IF(AQ469="2",BH469,0)</f>
        <v>0</v>
      </c>
      <c r="AG469" s="32">
        <f>IF(AQ469="2",BI469,0)</f>
        <v>0</v>
      </c>
      <c r="AH469" s="32">
        <f>IF(AQ469="0",BJ469,0)</f>
        <v>0</v>
      </c>
      <c r="AI469" s="28"/>
      <c r="AJ469" s="15">
        <f>IF(AN469=0,K469,0)</f>
        <v>0</v>
      </c>
      <c r="AK469" s="15">
        <f>IF(AN469=15,K469,0)</f>
        <v>0</v>
      </c>
      <c r="AL469" s="15">
        <f>IF(AN469=21,K469,0)</f>
        <v>0</v>
      </c>
      <c r="AN469" s="32">
        <v>21</v>
      </c>
      <c r="AO469" s="32">
        <f>H469*0</f>
        <v>0</v>
      </c>
      <c r="AP469" s="32">
        <f>H469*(1-0)</f>
        <v>0</v>
      </c>
      <c r="AQ469" s="27" t="s">
        <v>7</v>
      </c>
      <c r="AV469" s="32">
        <f>AW469+AX469</f>
        <v>0</v>
      </c>
      <c r="AW469" s="32">
        <f>G469*AO469</f>
        <v>0</v>
      </c>
      <c r="AX469" s="32">
        <f>G469*AP469</f>
        <v>0</v>
      </c>
      <c r="AY469" s="33" t="s">
        <v>878</v>
      </c>
      <c r="AZ469" s="33" t="s">
        <v>890</v>
      </c>
      <c r="BA469" s="28" t="s">
        <v>891</v>
      </c>
      <c r="BC469" s="32">
        <f>AW469+AX469</f>
        <v>0</v>
      </c>
      <c r="BD469" s="32">
        <f>H469/(100-BE469)*100</f>
        <v>0</v>
      </c>
      <c r="BE469" s="32">
        <v>0</v>
      </c>
      <c r="BF469" s="32">
        <f>469</f>
        <v>469</v>
      </c>
      <c r="BH469" s="15">
        <f>G469*AO469</f>
        <v>0</v>
      </c>
      <c r="BI469" s="15">
        <f>G469*AP469</f>
        <v>0</v>
      </c>
      <c r="BJ469" s="15">
        <f>G469*H469</f>
        <v>0</v>
      </c>
    </row>
    <row r="470" spans="1:62" x14ac:dyDescent="0.2">
      <c r="C470" s="57" t="s">
        <v>749</v>
      </c>
      <c r="D470" s="58"/>
      <c r="E470" s="58"/>
      <c r="G470" s="16">
        <v>3.5459999999999998</v>
      </c>
    </row>
    <row r="471" spans="1:62" x14ac:dyDescent="0.2">
      <c r="A471" s="4" t="s">
        <v>133</v>
      </c>
      <c r="B471" s="4" t="s">
        <v>297</v>
      </c>
      <c r="C471" s="59" t="s">
        <v>750</v>
      </c>
      <c r="D471" s="60"/>
      <c r="E471" s="60"/>
      <c r="F471" s="4" t="s">
        <v>820</v>
      </c>
      <c r="G471" s="15">
        <v>17</v>
      </c>
      <c r="H471" s="15">
        <v>0</v>
      </c>
      <c r="I471" s="15">
        <f>G471*AO471</f>
        <v>0</v>
      </c>
      <c r="J471" s="15">
        <f>G471*AP471</f>
        <v>0</v>
      </c>
      <c r="K471" s="15">
        <f>G471*H471</f>
        <v>0</v>
      </c>
      <c r="L471" s="27"/>
      <c r="Z471" s="32">
        <f>IF(AQ471="5",BJ471,0)</f>
        <v>0</v>
      </c>
      <c r="AB471" s="32">
        <f>IF(AQ471="1",BH471,0)</f>
        <v>0</v>
      </c>
      <c r="AC471" s="32">
        <f>IF(AQ471="1",BI471,0)</f>
        <v>0</v>
      </c>
      <c r="AD471" s="32">
        <f>IF(AQ471="7",BH471,0)</f>
        <v>0</v>
      </c>
      <c r="AE471" s="32">
        <f>IF(AQ471="7",BI471,0)</f>
        <v>0</v>
      </c>
      <c r="AF471" s="32">
        <f>IF(AQ471="2",BH471,0)</f>
        <v>0</v>
      </c>
      <c r="AG471" s="32">
        <f>IF(AQ471="2",BI471,0)</f>
        <v>0</v>
      </c>
      <c r="AH471" s="32">
        <f>IF(AQ471="0",BJ471,0)</f>
        <v>0</v>
      </c>
      <c r="AI471" s="28"/>
      <c r="AJ471" s="15">
        <f>IF(AN471=0,K471,0)</f>
        <v>0</v>
      </c>
      <c r="AK471" s="15">
        <f>IF(AN471=15,K471,0)</f>
        <v>0</v>
      </c>
      <c r="AL471" s="15">
        <f>IF(AN471=21,K471,0)</f>
        <v>0</v>
      </c>
      <c r="AN471" s="32">
        <v>21</v>
      </c>
      <c r="AO471" s="32">
        <f>H471*0</f>
        <v>0</v>
      </c>
      <c r="AP471" s="32">
        <f>H471*(1-0)</f>
        <v>0</v>
      </c>
      <c r="AQ471" s="27" t="s">
        <v>7</v>
      </c>
      <c r="AV471" s="32">
        <f>AW471+AX471</f>
        <v>0</v>
      </c>
      <c r="AW471" s="32">
        <f>G471*AO471</f>
        <v>0</v>
      </c>
      <c r="AX471" s="32">
        <f>G471*AP471</f>
        <v>0</v>
      </c>
      <c r="AY471" s="33" t="s">
        <v>878</v>
      </c>
      <c r="AZ471" s="33" t="s">
        <v>890</v>
      </c>
      <c r="BA471" s="28" t="s">
        <v>891</v>
      </c>
      <c r="BC471" s="32">
        <f>AW471+AX471</f>
        <v>0</v>
      </c>
      <c r="BD471" s="32">
        <f>H471/(100-BE471)*100</f>
        <v>0</v>
      </c>
      <c r="BE471" s="32">
        <v>0</v>
      </c>
      <c r="BF471" s="32">
        <f>471</f>
        <v>471</v>
      </c>
      <c r="BH471" s="15">
        <f>G471*AO471</f>
        <v>0</v>
      </c>
      <c r="BI471" s="15">
        <f>G471*AP471</f>
        <v>0</v>
      </c>
      <c r="BJ471" s="15">
        <f>G471*H471</f>
        <v>0</v>
      </c>
    </row>
    <row r="472" spans="1:62" x14ac:dyDescent="0.2">
      <c r="C472" s="57" t="s">
        <v>751</v>
      </c>
      <c r="D472" s="58"/>
      <c r="E472" s="58"/>
      <c r="G472" s="16">
        <v>17</v>
      </c>
    </row>
    <row r="473" spans="1:62" x14ac:dyDescent="0.2">
      <c r="A473" s="4" t="s">
        <v>134</v>
      </c>
      <c r="B473" s="4" t="s">
        <v>298</v>
      </c>
      <c r="C473" s="59" t="s">
        <v>752</v>
      </c>
      <c r="D473" s="60"/>
      <c r="E473" s="60"/>
      <c r="F473" s="4" t="s">
        <v>817</v>
      </c>
      <c r="G473" s="15">
        <v>1.35</v>
      </c>
      <c r="H473" s="15">
        <v>0</v>
      </c>
      <c r="I473" s="15">
        <f>G473*AO473</f>
        <v>0</v>
      </c>
      <c r="J473" s="15">
        <f>G473*AP473</f>
        <v>0</v>
      </c>
      <c r="K473" s="15">
        <f>G473*H473</f>
        <v>0</v>
      </c>
      <c r="L473" s="27" t="s">
        <v>839</v>
      </c>
      <c r="Z473" s="32">
        <f>IF(AQ473="5",BJ473,0)</f>
        <v>0</v>
      </c>
      <c r="AB473" s="32">
        <f>IF(AQ473="1",BH473,0)</f>
        <v>0</v>
      </c>
      <c r="AC473" s="32">
        <f>IF(AQ473="1",BI473,0)</f>
        <v>0</v>
      </c>
      <c r="AD473" s="32">
        <f>IF(AQ473="7",BH473,0)</f>
        <v>0</v>
      </c>
      <c r="AE473" s="32">
        <f>IF(AQ473="7",BI473,0)</f>
        <v>0</v>
      </c>
      <c r="AF473" s="32">
        <f>IF(AQ473="2",BH473,0)</f>
        <v>0</v>
      </c>
      <c r="AG473" s="32">
        <f>IF(AQ473="2",BI473,0)</f>
        <v>0</v>
      </c>
      <c r="AH473" s="32">
        <f>IF(AQ473="0",BJ473,0)</f>
        <v>0</v>
      </c>
      <c r="AI473" s="28"/>
      <c r="AJ473" s="15">
        <f>IF(AN473=0,K473,0)</f>
        <v>0</v>
      </c>
      <c r="AK473" s="15">
        <f>IF(AN473=15,K473,0)</f>
        <v>0</v>
      </c>
      <c r="AL473" s="15">
        <f>IF(AN473=21,K473,0)</f>
        <v>0</v>
      </c>
      <c r="AN473" s="32">
        <v>21</v>
      </c>
      <c r="AO473" s="32">
        <f>H473*0.0447674418604651</f>
        <v>0</v>
      </c>
      <c r="AP473" s="32">
        <f>H473*(1-0.0447674418604651)</f>
        <v>0</v>
      </c>
      <c r="AQ473" s="27" t="s">
        <v>7</v>
      </c>
      <c r="AV473" s="32">
        <f>AW473+AX473</f>
        <v>0</v>
      </c>
      <c r="AW473" s="32">
        <f>G473*AO473</f>
        <v>0</v>
      </c>
      <c r="AX473" s="32">
        <f>G473*AP473</f>
        <v>0</v>
      </c>
      <c r="AY473" s="33" t="s">
        <v>878</v>
      </c>
      <c r="AZ473" s="33" t="s">
        <v>890</v>
      </c>
      <c r="BA473" s="28" t="s">
        <v>891</v>
      </c>
      <c r="BC473" s="32">
        <f>AW473+AX473</f>
        <v>0</v>
      </c>
      <c r="BD473" s="32">
        <f>H473/(100-BE473)*100</f>
        <v>0</v>
      </c>
      <c r="BE473" s="32">
        <v>0</v>
      </c>
      <c r="BF473" s="32">
        <f>473</f>
        <v>473</v>
      </c>
      <c r="BH473" s="15">
        <f>G473*AO473</f>
        <v>0</v>
      </c>
      <c r="BI473" s="15">
        <f>G473*AP473</f>
        <v>0</v>
      </c>
      <c r="BJ473" s="15">
        <f>G473*H473</f>
        <v>0</v>
      </c>
    </row>
    <row r="474" spans="1:62" x14ac:dyDescent="0.2">
      <c r="C474" s="57" t="s">
        <v>753</v>
      </c>
      <c r="D474" s="58"/>
      <c r="E474" s="58"/>
      <c r="G474" s="16">
        <v>1.35</v>
      </c>
    </row>
    <row r="475" spans="1:62" x14ac:dyDescent="0.2">
      <c r="A475" s="4" t="s">
        <v>135</v>
      </c>
      <c r="B475" s="4" t="s">
        <v>299</v>
      </c>
      <c r="C475" s="59" t="s">
        <v>754</v>
      </c>
      <c r="D475" s="60"/>
      <c r="E475" s="60"/>
      <c r="F475" s="4" t="s">
        <v>816</v>
      </c>
      <c r="G475" s="15">
        <v>184</v>
      </c>
      <c r="H475" s="15">
        <v>0</v>
      </c>
      <c r="I475" s="15">
        <f>G475*AO475</f>
        <v>0</v>
      </c>
      <c r="J475" s="15">
        <f>G475*AP475</f>
        <v>0</v>
      </c>
      <c r="K475" s="15">
        <f>G475*H475</f>
        <v>0</v>
      </c>
      <c r="L475" s="27" t="s">
        <v>839</v>
      </c>
      <c r="Z475" s="32">
        <f>IF(AQ475="5",BJ475,0)</f>
        <v>0</v>
      </c>
      <c r="AB475" s="32">
        <f>IF(AQ475="1",BH475,0)</f>
        <v>0</v>
      </c>
      <c r="AC475" s="32">
        <f>IF(AQ475="1",BI475,0)</f>
        <v>0</v>
      </c>
      <c r="AD475" s="32">
        <f>IF(AQ475="7",BH475,0)</f>
        <v>0</v>
      </c>
      <c r="AE475" s="32">
        <f>IF(AQ475="7",BI475,0)</f>
        <v>0</v>
      </c>
      <c r="AF475" s="32">
        <f>IF(AQ475="2",BH475,0)</f>
        <v>0</v>
      </c>
      <c r="AG475" s="32">
        <f>IF(AQ475="2",BI475,0)</f>
        <v>0</v>
      </c>
      <c r="AH475" s="32">
        <f>IF(AQ475="0",BJ475,0)</f>
        <v>0</v>
      </c>
      <c r="AI475" s="28"/>
      <c r="AJ475" s="15">
        <f>IF(AN475=0,K475,0)</f>
        <v>0</v>
      </c>
      <c r="AK475" s="15">
        <f>IF(AN475=15,K475,0)</f>
        <v>0</v>
      </c>
      <c r="AL475" s="15">
        <f>IF(AN475=21,K475,0)</f>
        <v>0</v>
      </c>
      <c r="AN475" s="32">
        <v>21</v>
      </c>
      <c r="AO475" s="32">
        <f>H475*0</f>
        <v>0</v>
      </c>
      <c r="AP475" s="32">
        <f>H475*(1-0)</f>
        <v>0</v>
      </c>
      <c r="AQ475" s="27" t="s">
        <v>7</v>
      </c>
      <c r="AV475" s="32">
        <f>AW475+AX475</f>
        <v>0</v>
      </c>
      <c r="AW475" s="32">
        <f>G475*AO475</f>
        <v>0</v>
      </c>
      <c r="AX475" s="32">
        <f>G475*AP475</f>
        <v>0</v>
      </c>
      <c r="AY475" s="33" t="s">
        <v>878</v>
      </c>
      <c r="AZ475" s="33" t="s">
        <v>890</v>
      </c>
      <c r="BA475" s="28" t="s">
        <v>891</v>
      </c>
      <c r="BC475" s="32">
        <f>AW475+AX475</f>
        <v>0</v>
      </c>
      <c r="BD475" s="32">
        <f>H475/(100-BE475)*100</f>
        <v>0</v>
      </c>
      <c r="BE475" s="32">
        <v>0</v>
      </c>
      <c r="BF475" s="32">
        <f>475</f>
        <v>475</v>
      </c>
      <c r="BH475" s="15">
        <f>G475*AO475</f>
        <v>0</v>
      </c>
      <c r="BI475" s="15">
        <f>G475*AP475</f>
        <v>0</v>
      </c>
      <c r="BJ475" s="15">
        <f>G475*H475</f>
        <v>0</v>
      </c>
    </row>
    <row r="476" spans="1:62" x14ac:dyDescent="0.2">
      <c r="C476" s="57" t="s">
        <v>755</v>
      </c>
      <c r="D476" s="58"/>
      <c r="E476" s="58"/>
      <c r="G476" s="16">
        <v>184</v>
      </c>
    </row>
    <row r="477" spans="1:62" x14ac:dyDescent="0.2">
      <c r="A477" s="5"/>
      <c r="B477" s="13" t="s">
        <v>102</v>
      </c>
      <c r="C477" s="65" t="s">
        <v>756</v>
      </c>
      <c r="D477" s="66"/>
      <c r="E477" s="66"/>
      <c r="F477" s="5" t="s">
        <v>6</v>
      </c>
      <c r="G477" s="5" t="s">
        <v>6</v>
      </c>
      <c r="H477" s="5" t="s">
        <v>6</v>
      </c>
      <c r="I477" s="35">
        <f>SUM(I478:I507)</f>
        <v>0</v>
      </c>
      <c r="J477" s="35">
        <f>SUM(J478:J507)</f>
        <v>0</v>
      </c>
      <c r="K477" s="35">
        <f>SUM(K478:K507)</f>
        <v>0</v>
      </c>
      <c r="L477" s="28"/>
      <c r="AI477" s="28"/>
      <c r="AS477" s="35">
        <f>SUM(AJ478:AJ507)</f>
        <v>0</v>
      </c>
      <c r="AT477" s="35">
        <f>SUM(AK478:AK507)</f>
        <v>0</v>
      </c>
      <c r="AU477" s="35">
        <f>SUM(AL478:AL507)</f>
        <v>0</v>
      </c>
    </row>
    <row r="478" spans="1:62" x14ac:dyDescent="0.2">
      <c r="A478" s="4" t="s">
        <v>136</v>
      </c>
      <c r="B478" s="4" t="s">
        <v>300</v>
      </c>
      <c r="C478" s="59" t="s">
        <v>757</v>
      </c>
      <c r="D478" s="60"/>
      <c r="E478" s="60"/>
      <c r="F478" s="4" t="s">
        <v>817</v>
      </c>
      <c r="G478" s="15">
        <v>202.62</v>
      </c>
      <c r="H478" s="15">
        <v>0</v>
      </c>
      <c r="I478" s="15">
        <f>G478*AO478</f>
        <v>0</v>
      </c>
      <c r="J478" s="15">
        <f>G478*AP478</f>
        <v>0</v>
      </c>
      <c r="K478" s="15">
        <f>G478*H478</f>
        <v>0</v>
      </c>
      <c r="L478" s="27" t="s">
        <v>839</v>
      </c>
      <c r="Z478" s="32">
        <f>IF(AQ478="5",BJ478,0)</f>
        <v>0</v>
      </c>
      <c r="AB478" s="32">
        <f>IF(AQ478="1",BH478,0)</f>
        <v>0</v>
      </c>
      <c r="AC478" s="32">
        <f>IF(AQ478="1",BI478,0)</f>
        <v>0</v>
      </c>
      <c r="AD478" s="32">
        <f>IF(AQ478="7",BH478,0)</f>
        <v>0</v>
      </c>
      <c r="AE478" s="32">
        <f>IF(AQ478="7",BI478,0)</f>
        <v>0</v>
      </c>
      <c r="AF478" s="32">
        <f>IF(AQ478="2",BH478,0)</f>
        <v>0</v>
      </c>
      <c r="AG478" s="32">
        <f>IF(AQ478="2",BI478,0)</f>
        <v>0</v>
      </c>
      <c r="AH478" s="32">
        <f>IF(AQ478="0",BJ478,0)</f>
        <v>0</v>
      </c>
      <c r="AI478" s="28"/>
      <c r="AJ478" s="15">
        <f>IF(AN478=0,K478,0)</f>
        <v>0</v>
      </c>
      <c r="AK478" s="15">
        <f>IF(AN478=15,K478,0)</f>
        <v>0</v>
      </c>
      <c r="AL478" s="15">
        <f>IF(AN478=21,K478,0)</f>
        <v>0</v>
      </c>
      <c r="AN478" s="32">
        <v>21</v>
      </c>
      <c r="AO478" s="32">
        <f>H478*0</f>
        <v>0</v>
      </c>
      <c r="AP478" s="32">
        <f>H478*(1-0)</f>
        <v>0</v>
      </c>
      <c r="AQ478" s="27" t="s">
        <v>7</v>
      </c>
      <c r="AV478" s="32">
        <f>AW478+AX478</f>
        <v>0</v>
      </c>
      <c r="AW478" s="32">
        <f>G478*AO478</f>
        <v>0</v>
      </c>
      <c r="AX478" s="32">
        <f>G478*AP478</f>
        <v>0</v>
      </c>
      <c r="AY478" s="33" t="s">
        <v>879</v>
      </c>
      <c r="AZ478" s="33" t="s">
        <v>890</v>
      </c>
      <c r="BA478" s="28" t="s">
        <v>891</v>
      </c>
      <c r="BC478" s="32">
        <f>AW478+AX478</f>
        <v>0</v>
      </c>
      <c r="BD478" s="32">
        <f>H478/(100-BE478)*100</f>
        <v>0</v>
      </c>
      <c r="BE478" s="32">
        <v>0</v>
      </c>
      <c r="BF478" s="32">
        <f>478</f>
        <v>478</v>
      </c>
      <c r="BH478" s="15">
        <f>G478*AO478</f>
        <v>0</v>
      </c>
      <c r="BI478" s="15">
        <f>G478*AP478</f>
        <v>0</v>
      </c>
      <c r="BJ478" s="15">
        <f>G478*H478</f>
        <v>0</v>
      </c>
    </row>
    <row r="479" spans="1:62" x14ac:dyDescent="0.2">
      <c r="C479" s="57" t="s">
        <v>758</v>
      </c>
      <c r="D479" s="58"/>
      <c r="E479" s="58"/>
      <c r="G479" s="16">
        <v>47.66</v>
      </c>
    </row>
    <row r="480" spans="1:62" x14ac:dyDescent="0.2">
      <c r="C480" s="57" t="s">
        <v>759</v>
      </c>
      <c r="D480" s="58"/>
      <c r="E480" s="58"/>
      <c r="G480" s="16">
        <v>80.44</v>
      </c>
    </row>
    <row r="481" spans="1:62" x14ac:dyDescent="0.2">
      <c r="C481" s="57" t="s">
        <v>760</v>
      </c>
      <c r="D481" s="58"/>
      <c r="E481" s="58"/>
      <c r="G481" s="16">
        <v>47</v>
      </c>
    </row>
    <row r="482" spans="1:62" x14ac:dyDescent="0.2">
      <c r="C482" s="57" t="s">
        <v>761</v>
      </c>
      <c r="D482" s="58"/>
      <c r="E482" s="58"/>
      <c r="G482" s="16">
        <v>27.52</v>
      </c>
    </row>
    <row r="483" spans="1:62" x14ac:dyDescent="0.2">
      <c r="C483" s="57" t="s">
        <v>762</v>
      </c>
      <c r="D483" s="58"/>
      <c r="E483" s="58"/>
      <c r="G483" s="16">
        <v>0</v>
      </c>
    </row>
    <row r="484" spans="1:62" x14ac:dyDescent="0.2">
      <c r="A484" s="4" t="s">
        <v>137</v>
      </c>
      <c r="B484" s="4" t="s">
        <v>301</v>
      </c>
      <c r="C484" s="59" t="s">
        <v>763</v>
      </c>
      <c r="D484" s="60"/>
      <c r="E484" s="60"/>
      <c r="F484" s="4" t="s">
        <v>820</v>
      </c>
      <c r="G484" s="15">
        <v>4</v>
      </c>
      <c r="H484" s="15">
        <v>0</v>
      </c>
      <c r="I484" s="15">
        <f>G484*AO484</f>
        <v>0</v>
      </c>
      <c r="J484" s="15">
        <f>G484*AP484</f>
        <v>0</v>
      </c>
      <c r="K484" s="15">
        <f>G484*H484</f>
        <v>0</v>
      </c>
      <c r="L484" s="27" t="s">
        <v>839</v>
      </c>
      <c r="Z484" s="32">
        <f>IF(AQ484="5",BJ484,0)</f>
        <v>0</v>
      </c>
      <c r="AB484" s="32">
        <f>IF(AQ484="1",BH484,0)</f>
        <v>0</v>
      </c>
      <c r="AC484" s="32">
        <f>IF(AQ484="1",BI484,0)</f>
        <v>0</v>
      </c>
      <c r="AD484" s="32">
        <f>IF(AQ484="7",BH484,0)</f>
        <v>0</v>
      </c>
      <c r="AE484" s="32">
        <f>IF(AQ484="7",BI484,0)</f>
        <v>0</v>
      </c>
      <c r="AF484" s="32">
        <f>IF(AQ484="2",BH484,0)</f>
        <v>0</v>
      </c>
      <c r="AG484" s="32">
        <f>IF(AQ484="2",BI484,0)</f>
        <v>0</v>
      </c>
      <c r="AH484" s="32">
        <f>IF(AQ484="0",BJ484,0)</f>
        <v>0</v>
      </c>
      <c r="AI484" s="28"/>
      <c r="AJ484" s="15">
        <f>IF(AN484=0,K484,0)</f>
        <v>0</v>
      </c>
      <c r="AK484" s="15">
        <f>IF(AN484=15,K484,0)</f>
        <v>0</v>
      </c>
      <c r="AL484" s="15">
        <f>IF(AN484=21,K484,0)</f>
        <v>0</v>
      </c>
      <c r="AN484" s="32">
        <v>21</v>
      </c>
      <c r="AO484" s="32">
        <f>H484*0.0576779026217228</f>
        <v>0</v>
      </c>
      <c r="AP484" s="32">
        <f>H484*(1-0.0576779026217228)</f>
        <v>0</v>
      </c>
      <c r="AQ484" s="27" t="s">
        <v>7</v>
      </c>
      <c r="AV484" s="32">
        <f>AW484+AX484</f>
        <v>0</v>
      </c>
      <c r="AW484" s="32">
        <f>G484*AO484</f>
        <v>0</v>
      </c>
      <c r="AX484" s="32">
        <f>G484*AP484</f>
        <v>0</v>
      </c>
      <c r="AY484" s="33" t="s">
        <v>879</v>
      </c>
      <c r="AZ484" s="33" t="s">
        <v>890</v>
      </c>
      <c r="BA484" s="28" t="s">
        <v>891</v>
      </c>
      <c r="BC484" s="32">
        <f>AW484+AX484</f>
        <v>0</v>
      </c>
      <c r="BD484" s="32">
        <f>H484/(100-BE484)*100</f>
        <v>0</v>
      </c>
      <c r="BE484" s="32">
        <v>0</v>
      </c>
      <c r="BF484" s="32">
        <f>484</f>
        <v>484</v>
      </c>
      <c r="BH484" s="15">
        <f>G484*AO484</f>
        <v>0</v>
      </c>
      <c r="BI484" s="15">
        <f>G484*AP484</f>
        <v>0</v>
      </c>
      <c r="BJ484" s="15">
        <f>G484*H484</f>
        <v>0</v>
      </c>
    </row>
    <row r="485" spans="1:62" x14ac:dyDescent="0.2">
      <c r="C485" s="57" t="s">
        <v>764</v>
      </c>
      <c r="D485" s="58"/>
      <c r="E485" s="58"/>
      <c r="G485" s="16">
        <v>4</v>
      </c>
    </row>
    <row r="486" spans="1:62" x14ac:dyDescent="0.2">
      <c r="A486" s="4" t="s">
        <v>138</v>
      </c>
      <c r="B486" s="4" t="s">
        <v>302</v>
      </c>
      <c r="C486" s="59" t="s">
        <v>765</v>
      </c>
      <c r="D486" s="60"/>
      <c r="E486" s="60"/>
      <c r="F486" s="4" t="s">
        <v>820</v>
      </c>
      <c r="G486" s="15">
        <v>1</v>
      </c>
      <c r="H486" s="15">
        <v>0</v>
      </c>
      <c r="I486" s="15">
        <f>G486*AO486</f>
        <v>0</v>
      </c>
      <c r="J486" s="15">
        <f>G486*AP486</f>
        <v>0</v>
      </c>
      <c r="K486" s="15">
        <f>G486*H486</f>
        <v>0</v>
      </c>
      <c r="L486" s="27" t="s">
        <v>839</v>
      </c>
      <c r="Z486" s="32">
        <f>IF(AQ486="5",BJ486,0)</f>
        <v>0</v>
      </c>
      <c r="AB486" s="32">
        <f>IF(AQ486="1",BH486,0)</f>
        <v>0</v>
      </c>
      <c r="AC486" s="32">
        <f>IF(AQ486="1",BI486,0)</f>
        <v>0</v>
      </c>
      <c r="AD486" s="32">
        <f>IF(AQ486="7",BH486,0)</f>
        <v>0</v>
      </c>
      <c r="AE486" s="32">
        <f>IF(AQ486="7",BI486,0)</f>
        <v>0</v>
      </c>
      <c r="AF486" s="32">
        <f>IF(AQ486="2",BH486,0)</f>
        <v>0</v>
      </c>
      <c r="AG486" s="32">
        <f>IF(AQ486="2",BI486,0)</f>
        <v>0</v>
      </c>
      <c r="AH486" s="32">
        <f>IF(AQ486="0",BJ486,0)</f>
        <v>0</v>
      </c>
      <c r="AI486" s="28"/>
      <c r="AJ486" s="15">
        <f>IF(AN486=0,K486,0)</f>
        <v>0</v>
      </c>
      <c r="AK486" s="15">
        <f>IF(AN486=15,K486,0)</f>
        <v>0</v>
      </c>
      <c r="AL486" s="15">
        <f>IF(AN486=21,K486,0)</f>
        <v>0</v>
      </c>
      <c r="AN486" s="32">
        <v>21</v>
      </c>
      <c r="AO486" s="32">
        <f>H486*0.0974683544303798</f>
        <v>0</v>
      </c>
      <c r="AP486" s="32">
        <f>H486*(1-0.0974683544303798)</f>
        <v>0</v>
      </c>
      <c r="AQ486" s="27" t="s">
        <v>7</v>
      </c>
      <c r="AV486" s="32">
        <f>AW486+AX486</f>
        <v>0</v>
      </c>
      <c r="AW486" s="32">
        <f>G486*AO486</f>
        <v>0</v>
      </c>
      <c r="AX486" s="32">
        <f>G486*AP486</f>
        <v>0</v>
      </c>
      <c r="AY486" s="33" t="s">
        <v>879</v>
      </c>
      <c r="AZ486" s="33" t="s">
        <v>890</v>
      </c>
      <c r="BA486" s="28" t="s">
        <v>891</v>
      </c>
      <c r="BC486" s="32">
        <f>AW486+AX486</f>
        <v>0</v>
      </c>
      <c r="BD486" s="32">
        <f>H486/(100-BE486)*100</f>
        <v>0</v>
      </c>
      <c r="BE486" s="32">
        <v>0</v>
      </c>
      <c r="BF486" s="32">
        <f>486</f>
        <v>486</v>
      </c>
      <c r="BH486" s="15">
        <f>G486*AO486</f>
        <v>0</v>
      </c>
      <c r="BI486" s="15">
        <f>G486*AP486</f>
        <v>0</v>
      </c>
      <c r="BJ486" s="15">
        <f>G486*H486</f>
        <v>0</v>
      </c>
    </row>
    <row r="487" spans="1:62" x14ac:dyDescent="0.2">
      <c r="C487" s="57" t="s">
        <v>766</v>
      </c>
      <c r="D487" s="58"/>
      <c r="E487" s="58"/>
      <c r="G487" s="16">
        <v>1</v>
      </c>
    </row>
    <row r="488" spans="1:62" x14ac:dyDescent="0.2">
      <c r="A488" s="4" t="s">
        <v>139</v>
      </c>
      <c r="B488" s="4" t="s">
        <v>303</v>
      </c>
      <c r="C488" s="59" t="s">
        <v>767</v>
      </c>
      <c r="D488" s="60"/>
      <c r="E488" s="60"/>
      <c r="F488" s="4" t="s">
        <v>820</v>
      </c>
      <c r="G488" s="15">
        <v>1</v>
      </c>
      <c r="H488" s="15">
        <v>0</v>
      </c>
      <c r="I488" s="15">
        <f>G488*AO488</f>
        <v>0</v>
      </c>
      <c r="J488" s="15">
        <f>G488*AP488</f>
        <v>0</v>
      </c>
      <c r="K488" s="15">
        <f>G488*H488</f>
        <v>0</v>
      </c>
      <c r="L488" s="27" t="s">
        <v>839</v>
      </c>
      <c r="Z488" s="32">
        <f>IF(AQ488="5",BJ488,0)</f>
        <v>0</v>
      </c>
      <c r="AB488" s="32">
        <f>IF(AQ488="1",BH488,0)</f>
        <v>0</v>
      </c>
      <c r="AC488" s="32">
        <f>IF(AQ488="1",BI488,0)</f>
        <v>0</v>
      </c>
      <c r="AD488" s="32">
        <f>IF(AQ488="7",BH488,0)</f>
        <v>0</v>
      </c>
      <c r="AE488" s="32">
        <f>IF(AQ488="7",BI488,0)</f>
        <v>0</v>
      </c>
      <c r="AF488" s="32">
        <f>IF(AQ488="2",BH488,0)</f>
        <v>0</v>
      </c>
      <c r="AG488" s="32">
        <f>IF(AQ488="2",BI488,0)</f>
        <v>0</v>
      </c>
      <c r="AH488" s="32">
        <f>IF(AQ488="0",BJ488,0)</f>
        <v>0</v>
      </c>
      <c r="AI488" s="28"/>
      <c r="AJ488" s="15">
        <f>IF(AN488=0,K488,0)</f>
        <v>0</v>
      </c>
      <c r="AK488" s="15">
        <f>IF(AN488=15,K488,0)</f>
        <v>0</v>
      </c>
      <c r="AL488" s="15">
        <f>IF(AN488=21,K488,0)</f>
        <v>0</v>
      </c>
      <c r="AN488" s="32">
        <v>21</v>
      </c>
      <c r="AO488" s="32">
        <f>H488*0.0281535648994516</f>
        <v>0</v>
      </c>
      <c r="AP488" s="32">
        <f>H488*(1-0.0281535648994516)</f>
        <v>0</v>
      </c>
      <c r="AQ488" s="27" t="s">
        <v>7</v>
      </c>
      <c r="AV488" s="32">
        <f>AW488+AX488</f>
        <v>0</v>
      </c>
      <c r="AW488" s="32">
        <f>G488*AO488</f>
        <v>0</v>
      </c>
      <c r="AX488" s="32">
        <f>G488*AP488</f>
        <v>0</v>
      </c>
      <c r="AY488" s="33" t="s">
        <v>879</v>
      </c>
      <c r="AZ488" s="33" t="s">
        <v>890</v>
      </c>
      <c r="BA488" s="28" t="s">
        <v>891</v>
      </c>
      <c r="BC488" s="32">
        <f>AW488+AX488</f>
        <v>0</v>
      </c>
      <c r="BD488" s="32">
        <f>H488/(100-BE488)*100</f>
        <v>0</v>
      </c>
      <c r="BE488" s="32">
        <v>0</v>
      </c>
      <c r="BF488" s="32">
        <f>488</f>
        <v>488</v>
      </c>
      <c r="BH488" s="15">
        <f>G488*AO488</f>
        <v>0</v>
      </c>
      <c r="BI488" s="15">
        <f>G488*AP488</f>
        <v>0</v>
      </c>
      <c r="BJ488" s="15">
        <f>G488*H488</f>
        <v>0</v>
      </c>
    </row>
    <row r="489" spans="1:62" x14ac:dyDescent="0.2">
      <c r="C489" s="57" t="s">
        <v>768</v>
      </c>
      <c r="D489" s="58"/>
      <c r="E489" s="58"/>
      <c r="G489" s="16">
        <v>1</v>
      </c>
    </row>
    <row r="490" spans="1:62" x14ac:dyDescent="0.2">
      <c r="A490" s="4" t="s">
        <v>140</v>
      </c>
      <c r="B490" s="4" t="s">
        <v>304</v>
      </c>
      <c r="C490" s="59" t="s">
        <v>769</v>
      </c>
      <c r="D490" s="60"/>
      <c r="E490" s="60"/>
      <c r="F490" s="4" t="s">
        <v>820</v>
      </c>
      <c r="G490" s="15">
        <v>4</v>
      </c>
      <c r="H490" s="15">
        <v>0</v>
      </c>
      <c r="I490" s="15">
        <f>G490*AO490</f>
        <v>0</v>
      </c>
      <c r="J490" s="15">
        <f>G490*AP490</f>
        <v>0</v>
      </c>
      <c r="K490" s="15">
        <f>G490*H490</f>
        <v>0</v>
      </c>
      <c r="L490" s="27" t="s">
        <v>839</v>
      </c>
      <c r="Z490" s="32">
        <f>IF(AQ490="5",BJ490,0)</f>
        <v>0</v>
      </c>
      <c r="AB490" s="32">
        <f>IF(AQ490="1",BH490,0)</f>
        <v>0</v>
      </c>
      <c r="AC490" s="32">
        <f>IF(AQ490="1",BI490,0)</f>
        <v>0</v>
      </c>
      <c r="AD490" s="32">
        <f>IF(AQ490="7",BH490,0)</f>
        <v>0</v>
      </c>
      <c r="AE490" s="32">
        <f>IF(AQ490="7",BI490,0)</f>
        <v>0</v>
      </c>
      <c r="AF490" s="32">
        <f>IF(AQ490="2",BH490,0)</f>
        <v>0</v>
      </c>
      <c r="AG490" s="32">
        <f>IF(AQ490="2",BI490,0)</f>
        <v>0</v>
      </c>
      <c r="AH490" s="32">
        <f>IF(AQ490="0",BJ490,0)</f>
        <v>0</v>
      </c>
      <c r="AI490" s="28"/>
      <c r="AJ490" s="15">
        <f>IF(AN490=0,K490,0)</f>
        <v>0</v>
      </c>
      <c r="AK490" s="15">
        <f>IF(AN490=15,K490,0)</f>
        <v>0</v>
      </c>
      <c r="AL490" s="15">
        <f>IF(AN490=21,K490,0)</f>
        <v>0</v>
      </c>
      <c r="AN490" s="32">
        <v>21</v>
      </c>
      <c r="AO490" s="32">
        <f>H490*0</f>
        <v>0</v>
      </c>
      <c r="AP490" s="32">
        <f>H490*(1-0)</f>
        <v>0</v>
      </c>
      <c r="AQ490" s="27" t="s">
        <v>7</v>
      </c>
      <c r="AV490" s="32">
        <f>AW490+AX490</f>
        <v>0</v>
      </c>
      <c r="AW490" s="32">
        <f>G490*AO490</f>
        <v>0</v>
      </c>
      <c r="AX490" s="32">
        <f>G490*AP490</f>
        <v>0</v>
      </c>
      <c r="AY490" s="33" t="s">
        <v>879</v>
      </c>
      <c r="AZ490" s="33" t="s">
        <v>890</v>
      </c>
      <c r="BA490" s="28" t="s">
        <v>891</v>
      </c>
      <c r="BC490" s="32">
        <f>AW490+AX490</f>
        <v>0</v>
      </c>
      <c r="BD490" s="32">
        <f>H490/(100-BE490)*100</f>
        <v>0</v>
      </c>
      <c r="BE490" s="32">
        <v>0</v>
      </c>
      <c r="BF490" s="32">
        <f>490</f>
        <v>490</v>
      </c>
      <c r="BH490" s="15">
        <f>G490*AO490</f>
        <v>0</v>
      </c>
      <c r="BI490" s="15">
        <f>G490*AP490</f>
        <v>0</v>
      </c>
      <c r="BJ490" s="15">
        <f>G490*H490</f>
        <v>0</v>
      </c>
    </row>
    <row r="491" spans="1:62" x14ac:dyDescent="0.2">
      <c r="C491" s="57" t="s">
        <v>770</v>
      </c>
      <c r="D491" s="58"/>
      <c r="E491" s="58"/>
      <c r="G491" s="16">
        <v>2</v>
      </c>
    </row>
    <row r="492" spans="1:62" x14ac:dyDescent="0.2">
      <c r="C492" s="57" t="s">
        <v>771</v>
      </c>
      <c r="D492" s="58"/>
      <c r="E492" s="58"/>
      <c r="G492" s="16">
        <v>2</v>
      </c>
    </row>
    <row r="493" spans="1:62" x14ac:dyDescent="0.2">
      <c r="A493" s="4" t="s">
        <v>141</v>
      </c>
      <c r="B493" s="4" t="s">
        <v>305</v>
      </c>
      <c r="C493" s="59" t="s">
        <v>772</v>
      </c>
      <c r="D493" s="60"/>
      <c r="E493" s="60"/>
      <c r="F493" s="4" t="s">
        <v>820</v>
      </c>
      <c r="G493" s="15">
        <v>2</v>
      </c>
      <c r="H493" s="15">
        <v>0</v>
      </c>
      <c r="I493" s="15">
        <f>G493*AO493</f>
        <v>0</v>
      </c>
      <c r="J493" s="15">
        <f>G493*AP493</f>
        <v>0</v>
      </c>
      <c r="K493" s="15">
        <f>G493*H493</f>
        <v>0</v>
      </c>
      <c r="L493" s="27" t="s">
        <v>839</v>
      </c>
      <c r="Z493" s="32">
        <f>IF(AQ493="5",BJ493,0)</f>
        <v>0</v>
      </c>
      <c r="AB493" s="32">
        <f>IF(AQ493="1",BH493,0)</f>
        <v>0</v>
      </c>
      <c r="AC493" s="32">
        <f>IF(AQ493="1",BI493,0)</f>
        <v>0</v>
      </c>
      <c r="AD493" s="32">
        <f>IF(AQ493="7",BH493,0)</f>
        <v>0</v>
      </c>
      <c r="AE493" s="32">
        <f>IF(AQ493="7",BI493,0)</f>
        <v>0</v>
      </c>
      <c r="AF493" s="32">
        <f>IF(AQ493="2",BH493,0)</f>
        <v>0</v>
      </c>
      <c r="AG493" s="32">
        <f>IF(AQ493="2",BI493,0)</f>
        <v>0</v>
      </c>
      <c r="AH493" s="32">
        <f>IF(AQ493="0",BJ493,0)</f>
        <v>0</v>
      </c>
      <c r="AI493" s="28"/>
      <c r="AJ493" s="15">
        <f>IF(AN493=0,K493,0)</f>
        <v>0</v>
      </c>
      <c r="AK493" s="15">
        <f>IF(AN493=15,K493,0)</f>
        <v>0</v>
      </c>
      <c r="AL493" s="15">
        <f>IF(AN493=21,K493,0)</f>
        <v>0</v>
      </c>
      <c r="AN493" s="32">
        <v>21</v>
      </c>
      <c r="AO493" s="32">
        <f>H493*0.0974683544303798</f>
        <v>0</v>
      </c>
      <c r="AP493" s="32">
        <f>H493*(1-0.0974683544303798)</f>
        <v>0</v>
      </c>
      <c r="AQ493" s="27" t="s">
        <v>7</v>
      </c>
      <c r="AV493" s="32">
        <f>AW493+AX493</f>
        <v>0</v>
      </c>
      <c r="AW493" s="32">
        <f>G493*AO493</f>
        <v>0</v>
      </c>
      <c r="AX493" s="32">
        <f>G493*AP493</f>
        <v>0</v>
      </c>
      <c r="AY493" s="33" t="s">
        <v>879</v>
      </c>
      <c r="AZ493" s="33" t="s">
        <v>890</v>
      </c>
      <c r="BA493" s="28" t="s">
        <v>891</v>
      </c>
      <c r="BC493" s="32">
        <f>AW493+AX493</f>
        <v>0</v>
      </c>
      <c r="BD493" s="32">
        <f>H493/(100-BE493)*100</f>
        <v>0</v>
      </c>
      <c r="BE493" s="32">
        <v>0</v>
      </c>
      <c r="BF493" s="32">
        <f>493</f>
        <v>493</v>
      </c>
      <c r="BH493" s="15">
        <f>G493*AO493</f>
        <v>0</v>
      </c>
      <c r="BI493" s="15">
        <f>G493*AP493</f>
        <v>0</v>
      </c>
      <c r="BJ493" s="15">
        <f>G493*H493</f>
        <v>0</v>
      </c>
    </row>
    <row r="494" spans="1:62" x14ac:dyDescent="0.2">
      <c r="C494" s="57" t="s">
        <v>770</v>
      </c>
      <c r="D494" s="58"/>
      <c r="E494" s="58"/>
      <c r="G494" s="16">
        <v>2</v>
      </c>
    </row>
    <row r="495" spans="1:62" x14ac:dyDescent="0.2">
      <c r="A495" s="4" t="s">
        <v>142</v>
      </c>
      <c r="B495" s="4" t="s">
        <v>306</v>
      </c>
      <c r="C495" s="59" t="s">
        <v>773</v>
      </c>
      <c r="D495" s="60"/>
      <c r="E495" s="60"/>
      <c r="F495" s="4" t="s">
        <v>816</v>
      </c>
      <c r="G495" s="15">
        <v>16.57</v>
      </c>
      <c r="H495" s="15">
        <v>0</v>
      </c>
      <c r="I495" s="15">
        <f>G495*AO495</f>
        <v>0</v>
      </c>
      <c r="J495" s="15">
        <f>G495*AP495</f>
        <v>0</v>
      </c>
      <c r="K495" s="15">
        <f>G495*H495</f>
        <v>0</v>
      </c>
      <c r="L495" s="27" t="s">
        <v>839</v>
      </c>
      <c r="Z495" s="32">
        <f>IF(AQ495="5",BJ495,0)</f>
        <v>0</v>
      </c>
      <c r="AB495" s="32">
        <f>IF(AQ495="1",BH495,0)</f>
        <v>0</v>
      </c>
      <c r="AC495" s="32">
        <f>IF(AQ495="1",BI495,0)</f>
        <v>0</v>
      </c>
      <c r="AD495" s="32">
        <f>IF(AQ495="7",BH495,0)</f>
        <v>0</v>
      </c>
      <c r="AE495" s="32">
        <f>IF(AQ495="7",BI495,0)</f>
        <v>0</v>
      </c>
      <c r="AF495" s="32">
        <f>IF(AQ495="2",BH495,0)</f>
        <v>0</v>
      </c>
      <c r="AG495" s="32">
        <f>IF(AQ495="2",BI495,0)</f>
        <v>0</v>
      </c>
      <c r="AH495" s="32">
        <f>IF(AQ495="0",BJ495,0)</f>
        <v>0</v>
      </c>
      <c r="AI495" s="28"/>
      <c r="AJ495" s="15">
        <f>IF(AN495=0,K495,0)</f>
        <v>0</v>
      </c>
      <c r="AK495" s="15">
        <f>IF(AN495=15,K495,0)</f>
        <v>0</v>
      </c>
      <c r="AL495" s="15">
        <f>IF(AN495=21,K495,0)</f>
        <v>0</v>
      </c>
      <c r="AN495" s="32">
        <v>21</v>
      </c>
      <c r="AO495" s="32">
        <f>H495*0.193977035490605</f>
        <v>0</v>
      </c>
      <c r="AP495" s="32">
        <f>H495*(1-0.193977035490605)</f>
        <v>0</v>
      </c>
      <c r="AQ495" s="27" t="s">
        <v>7</v>
      </c>
      <c r="AV495" s="32">
        <f>AW495+AX495</f>
        <v>0</v>
      </c>
      <c r="AW495" s="32">
        <f>G495*AO495</f>
        <v>0</v>
      </c>
      <c r="AX495" s="32">
        <f>G495*AP495</f>
        <v>0</v>
      </c>
      <c r="AY495" s="33" t="s">
        <v>879</v>
      </c>
      <c r="AZ495" s="33" t="s">
        <v>890</v>
      </c>
      <c r="BA495" s="28" t="s">
        <v>891</v>
      </c>
      <c r="BC495" s="32">
        <f>AW495+AX495</f>
        <v>0</v>
      </c>
      <c r="BD495" s="32">
        <f>H495/(100-BE495)*100</f>
        <v>0</v>
      </c>
      <c r="BE495" s="32">
        <v>0</v>
      </c>
      <c r="BF495" s="32">
        <f>495</f>
        <v>495</v>
      </c>
      <c r="BH495" s="15">
        <f>G495*AO495</f>
        <v>0</v>
      </c>
      <c r="BI495" s="15">
        <f>G495*AP495</f>
        <v>0</v>
      </c>
      <c r="BJ495" s="15">
        <f>G495*H495</f>
        <v>0</v>
      </c>
    </row>
    <row r="496" spans="1:62" x14ac:dyDescent="0.2">
      <c r="C496" s="57" t="s">
        <v>774</v>
      </c>
      <c r="D496" s="58"/>
      <c r="E496" s="58"/>
      <c r="G496" s="16">
        <v>2.6</v>
      </c>
    </row>
    <row r="497" spans="1:62" x14ac:dyDescent="0.2">
      <c r="C497" s="57" t="s">
        <v>775</v>
      </c>
      <c r="D497" s="58"/>
      <c r="E497" s="58"/>
      <c r="G497" s="16">
        <v>2.2000000000000002</v>
      </c>
    </row>
    <row r="498" spans="1:62" x14ac:dyDescent="0.2">
      <c r="C498" s="57" t="s">
        <v>776</v>
      </c>
      <c r="D498" s="58"/>
      <c r="E498" s="58"/>
      <c r="G498" s="16">
        <v>2.64</v>
      </c>
    </row>
    <row r="499" spans="1:62" x14ac:dyDescent="0.2">
      <c r="C499" s="57" t="s">
        <v>777</v>
      </c>
      <c r="D499" s="58"/>
      <c r="E499" s="58"/>
      <c r="G499" s="16">
        <v>9.1300000000000008</v>
      </c>
    </row>
    <row r="500" spans="1:62" x14ac:dyDescent="0.2">
      <c r="A500" s="4" t="s">
        <v>143</v>
      </c>
      <c r="B500" s="4" t="s">
        <v>307</v>
      </c>
      <c r="C500" s="59" t="s">
        <v>778</v>
      </c>
      <c r="D500" s="60"/>
      <c r="E500" s="60"/>
      <c r="F500" s="4" t="s">
        <v>816</v>
      </c>
      <c r="G500" s="15">
        <v>4</v>
      </c>
      <c r="H500" s="15">
        <v>0</v>
      </c>
      <c r="I500" s="15">
        <f>G500*AO500</f>
        <v>0</v>
      </c>
      <c r="J500" s="15">
        <f>G500*AP500</f>
        <v>0</v>
      </c>
      <c r="K500" s="15">
        <f>G500*H500</f>
        <v>0</v>
      </c>
      <c r="L500" s="27" t="s">
        <v>839</v>
      </c>
      <c r="Z500" s="32">
        <f>IF(AQ500="5",BJ500,0)</f>
        <v>0</v>
      </c>
      <c r="AB500" s="32">
        <f>IF(AQ500="1",BH500,0)</f>
        <v>0</v>
      </c>
      <c r="AC500" s="32">
        <f>IF(AQ500="1",BI500,0)</f>
        <v>0</v>
      </c>
      <c r="AD500" s="32">
        <f>IF(AQ500="7",BH500,0)</f>
        <v>0</v>
      </c>
      <c r="AE500" s="32">
        <f>IF(AQ500="7",BI500,0)</f>
        <v>0</v>
      </c>
      <c r="AF500" s="32">
        <f>IF(AQ500="2",BH500,0)</f>
        <v>0</v>
      </c>
      <c r="AG500" s="32">
        <f>IF(AQ500="2",BI500,0)</f>
        <v>0</v>
      </c>
      <c r="AH500" s="32">
        <f>IF(AQ500="0",BJ500,0)</f>
        <v>0</v>
      </c>
      <c r="AI500" s="28"/>
      <c r="AJ500" s="15">
        <f>IF(AN500=0,K500,0)</f>
        <v>0</v>
      </c>
      <c r="AK500" s="15">
        <f>IF(AN500=15,K500,0)</f>
        <v>0</v>
      </c>
      <c r="AL500" s="15">
        <f>IF(AN500=21,K500,0)</f>
        <v>0</v>
      </c>
      <c r="AN500" s="32">
        <v>21</v>
      </c>
      <c r="AO500" s="32">
        <f>H500*0.14912925170068</f>
        <v>0</v>
      </c>
      <c r="AP500" s="32">
        <f>H500*(1-0.14912925170068)</f>
        <v>0</v>
      </c>
      <c r="AQ500" s="27" t="s">
        <v>7</v>
      </c>
      <c r="AV500" s="32">
        <f>AW500+AX500</f>
        <v>0</v>
      </c>
      <c r="AW500" s="32">
        <f>G500*AO500</f>
        <v>0</v>
      </c>
      <c r="AX500" s="32">
        <f>G500*AP500</f>
        <v>0</v>
      </c>
      <c r="AY500" s="33" t="s">
        <v>879</v>
      </c>
      <c r="AZ500" s="33" t="s">
        <v>890</v>
      </c>
      <c r="BA500" s="28" t="s">
        <v>891</v>
      </c>
      <c r="BC500" s="32">
        <f>AW500+AX500</f>
        <v>0</v>
      </c>
      <c r="BD500" s="32">
        <f>H500/(100-BE500)*100</f>
        <v>0</v>
      </c>
      <c r="BE500" s="32">
        <v>0</v>
      </c>
      <c r="BF500" s="32">
        <f>500</f>
        <v>500</v>
      </c>
      <c r="BH500" s="15">
        <f>G500*AO500</f>
        <v>0</v>
      </c>
      <c r="BI500" s="15">
        <f>G500*AP500</f>
        <v>0</v>
      </c>
      <c r="BJ500" s="15">
        <f>G500*H500</f>
        <v>0</v>
      </c>
    </row>
    <row r="501" spans="1:62" x14ac:dyDescent="0.2">
      <c r="C501" s="57" t="s">
        <v>779</v>
      </c>
      <c r="D501" s="58"/>
      <c r="E501" s="58"/>
      <c r="G501" s="16">
        <v>4</v>
      </c>
    </row>
    <row r="502" spans="1:62" x14ac:dyDescent="0.2">
      <c r="A502" s="4" t="s">
        <v>144</v>
      </c>
      <c r="B502" s="4" t="s">
        <v>308</v>
      </c>
      <c r="C502" s="59" t="s">
        <v>780</v>
      </c>
      <c r="D502" s="60"/>
      <c r="E502" s="60"/>
      <c r="F502" s="4" t="s">
        <v>816</v>
      </c>
      <c r="G502" s="15">
        <v>5.5</v>
      </c>
      <c r="H502" s="15">
        <v>0</v>
      </c>
      <c r="I502" s="15">
        <f>G502*AO502</f>
        <v>0</v>
      </c>
      <c r="J502" s="15">
        <f>G502*AP502</f>
        <v>0</v>
      </c>
      <c r="K502" s="15">
        <f>G502*H502</f>
        <v>0</v>
      </c>
      <c r="L502" s="27" t="s">
        <v>839</v>
      </c>
      <c r="Z502" s="32">
        <f>IF(AQ502="5",BJ502,0)</f>
        <v>0</v>
      </c>
      <c r="AB502" s="32">
        <f>IF(AQ502="1",BH502,0)</f>
        <v>0</v>
      </c>
      <c r="AC502" s="32">
        <f>IF(AQ502="1",BI502,0)</f>
        <v>0</v>
      </c>
      <c r="AD502" s="32">
        <f>IF(AQ502="7",BH502,0)</f>
        <v>0</v>
      </c>
      <c r="AE502" s="32">
        <f>IF(AQ502="7",BI502,0)</f>
        <v>0</v>
      </c>
      <c r="AF502" s="32">
        <f>IF(AQ502="2",BH502,0)</f>
        <v>0</v>
      </c>
      <c r="AG502" s="32">
        <f>IF(AQ502="2",BI502,0)</f>
        <v>0</v>
      </c>
      <c r="AH502" s="32">
        <f>IF(AQ502="0",BJ502,0)</f>
        <v>0</v>
      </c>
      <c r="AI502" s="28"/>
      <c r="AJ502" s="15">
        <f>IF(AN502=0,K502,0)</f>
        <v>0</v>
      </c>
      <c r="AK502" s="15">
        <f>IF(AN502=15,K502,0)</f>
        <v>0</v>
      </c>
      <c r="AL502" s="15">
        <f>IF(AN502=21,K502,0)</f>
        <v>0</v>
      </c>
      <c r="AN502" s="32">
        <v>21</v>
      </c>
      <c r="AO502" s="32">
        <f>H502*0.162469879518072</f>
        <v>0</v>
      </c>
      <c r="AP502" s="32">
        <f>H502*(1-0.162469879518072)</f>
        <v>0</v>
      </c>
      <c r="AQ502" s="27" t="s">
        <v>7</v>
      </c>
      <c r="AV502" s="32">
        <f>AW502+AX502</f>
        <v>0</v>
      </c>
      <c r="AW502" s="32">
        <f>G502*AO502</f>
        <v>0</v>
      </c>
      <c r="AX502" s="32">
        <f>G502*AP502</f>
        <v>0</v>
      </c>
      <c r="AY502" s="33" t="s">
        <v>879</v>
      </c>
      <c r="AZ502" s="33" t="s">
        <v>890</v>
      </c>
      <c r="BA502" s="28" t="s">
        <v>891</v>
      </c>
      <c r="BC502" s="32">
        <f>AW502+AX502</f>
        <v>0</v>
      </c>
      <c r="BD502" s="32">
        <f>H502/(100-BE502)*100</f>
        <v>0</v>
      </c>
      <c r="BE502" s="32">
        <v>0</v>
      </c>
      <c r="BF502" s="32">
        <f>502</f>
        <v>502</v>
      </c>
      <c r="BH502" s="15">
        <f>G502*AO502</f>
        <v>0</v>
      </c>
      <c r="BI502" s="15">
        <f>G502*AP502</f>
        <v>0</v>
      </c>
      <c r="BJ502" s="15">
        <f>G502*H502</f>
        <v>0</v>
      </c>
    </row>
    <row r="503" spans="1:62" x14ac:dyDescent="0.2">
      <c r="C503" s="57" t="s">
        <v>781</v>
      </c>
      <c r="D503" s="58"/>
      <c r="E503" s="58"/>
      <c r="G503" s="16">
        <v>2.1</v>
      </c>
    </row>
    <row r="504" spans="1:62" x14ac:dyDescent="0.2">
      <c r="C504" s="57" t="s">
        <v>782</v>
      </c>
      <c r="D504" s="58"/>
      <c r="E504" s="58"/>
      <c r="G504" s="16">
        <v>3.4</v>
      </c>
    </row>
    <row r="505" spans="1:62" x14ac:dyDescent="0.2">
      <c r="A505" s="4" t="s">
        <v>145</v>
      </c>
      <c r="B505" s="4" t="s">
        <v>309</v>
      </c>
      <c r="C505" s="59" t="s">
        <v>783</v>
      </c>
      <c r="D505" s="60"/>
      <c r="E505" s="60"/>
      <c r="F505" s="4" t="s">
        <v>818</v>
      </c>
      <c r="G505" s="15">
        <v>0.10545</v>
      </c>
      <c r="H505" s="15">
        <v>0</v>
      </c>
      <c r="I505" s="15">
        <f>G505*AO505</f>
        <v>0</v>
      </c>
      <c r="J505" s="15">
        <f>G505*AP505</f>
        <v>0</v>
      </c>
      <c r="K505" s="15">
        <f>G505*H505</f>
        <v>0</v>
      </c>
      <c r="L505" s="27" t="s">
        <v>839</v>
      </c>
      <c r="Z505" s="32">
        <f>IF(AQ505="5",BJ505,0)</f>
        <v>0</v>
      </c>
      <c r="AB505" s="32">
        <f>IF(AQ505="1",BH505,0)</f>
        <v>0</v>
      </c>
      <c r="AC505" s="32">
        <f>IF(AQ505="1",BI505,0)</f>
        <v>0</v>
      </c>
      <c r="AD505" s="32">
        <f>IF(AQ505="7",BH505,0)</f>
        <v>0</v>
      </c>
      <c r="AE505" s="32">
        <f>IF(AQ505="7",BI505,0)</f>
        <v>0</v>
      </c>
      <c r="AF505" s="32">
        <f>IF(AQ505="2",BH505,0)</f>
        <v>0</v>
      </c>
      <c r="AG505" s="32">
        <f>IF(AQ505="2",BI505,0)</f>
        <v>0</v>
      </c>
      <c r="AH505" s="32">
        <f>IF(AQ505="0",BJ505,0)</f>
        <v>0</v>
      </c>
      <c r="AI505" s="28"/>
      <c r="AJ505" s="15">
        <f>IF(AN505=0,K505,0)</f>
        <v>0</v>
      </c>
      <c r="AK505" s="15">
        <f>IF(AN505=15,K505,0)</f>
        <v>0</v>
      </c>
      <c r="AL505" s="15">
        <f>IF(AN505=21,K505,0)</f>
        <v>0</v>
      </c>
      <c r="AN505" s="32">
        <v>21</v>
      </c>
      <c r="AO505" s="32">
        <f>H505*0</f>
        <v>0</v>
      </c>
      <c r="AP505" s="32">
        <f>H505*(1-0)</f>
        <v>0</v>
      </c>
      <c r="AQ505" s="27" t="s">
        <v>7</v>
      </c>
      <c r="AV505" s="32">
        <f>AW505+AX505</f>
        <v>0</v>
      </c>
      <c r="AW505" s="32">
        <f>G505*AO505</f>
        <v>0</v>
      </c>
      <c r="AX505" s="32">
        <f>G505*AP505</f>
        <v>0</v>
      </c>
      <c r="AY505" s="33" t="s">
        <v>879</v>
      </c>
      <c r="AZ505" s="33" t="s">
        <v>890</v>
      </c>
      <c r="BA505" s="28" t="s">
        <v>891</v>
      </c>
      <c r="BC505" s="32">
        <f>AW505+AX505</f>
        <v>0</v>
      </c>
      <c r="BD505" s="32">
        <f>H505/(100-BE505)*100</f>
        <v>0</v>
      </c>
      <c r="BE505" s="32">
        <v>0</v>
      </c>
      <c r="BF505" s="32">
        <f>505</f>
        <v>505</v>
      </c>
      <c r="BH505" s="15">
        <f>G505*AO505</f>
        <v>0</v>
      </c>
      <c r="BI505" s="15">
        <f>G505*AP505</f>
        <v>0</v>
      </c>
      <c r="BJ505" s="15">
        <f>G505*H505</f>
        <v>0</v>
      </c>
    </row>
    <row r="506" spans="1:62" x14ac:dyDescent="0.2">
      <c r="C506" s="57" t="s">
        <v>784</v>
      </c>
      <c r="D506" s="58"/>
      <c r="E506" s="58"/>
      <c r="G506" s="16">
        <v>0.10545</v>
      </c>
    </row>
    <row r="507" spans="1:62" x14ac:dyDescent="0.2">
      <c r="A507" s="4" t="s">
        <v>146</v>
      </c>
      <c r="B507" s="4" t="s">
        <v>310</v>
      </c>
      <c r="C507" s="59" t="s">
        <v>785</v>
      </c>
      <c r="D507" s="60"/>
      <c r="E507" s="60"/>
      <c r="F507" s="4" t="s">
        <v>818</v>
      </c>
      <c r="G507" s="15">
        <v>2.4908999999999999</v>
      </c>
      <c r="H507" s="15">
        <v>0</v>
      </c>
      <c r="I507" s="15">
        <f>G507*AO507</f>
        <v>0</v>
      </c>
      <c r="J507" s="15">
        <f>G507*AP507</f>
        <v>0</v>
      </c>
      <c r="K507" s="15">
        <f>G507*H507</f>
        <v>0</v>
      </c>
      <c r="L507" s="27" t="s">
        <v>839</v>
      </c>
      <c r="Z507" s="32">
        <f>IF(AQ507="5",BJ507,0)</f>
        <v>0</v>
      </c>
      <c r="AB507" s="32">
        <f>IF(AQ507="1",BH507,0)</f>
        <v>0</v>
      </c>
      <c r="AC507" s="32">
        <f>IF(AQ507="1",BI507,0)</f>
        <v>0</v>
      </c>
      <c r="AD507" s="32">
        <f>IF(AQ507="7",BH507,0)</f>
        <v>0</v>
      </c>
      <c r="AE507" s="32">
        <f>IF(AQ507="7",BI507,0)</f>
        <v>0</v>
      </c>
      <c r="AF507" s="32">
        <f>IF(AQ507="2",BH507,0)</f>
        <v>0</v>
      </c>
      <c r="AG507" s="32">
        <f>IF(AQ507="2",BI507,0)</f>
        <v>0</v>
      </c>
      <c r="AH507" s="32">
        <f>IF(AQ507="0",BJ507,0)</f>
        <v>0</v>
      </c>
      <c r="AI507" s="28"/>
      <c r="AJ507" s="15">
        <f>IF(AN507=0,K507,0)</f>
        <v>0</v>
      </c>
      <c r="AK507" s="15">
        <f>IF(AN507=15,K507,0)</f>
        <v>0</v>
      </c>
      <c r="AL507" s="15">
        <f>IF(AN507=21,K507,0)</f>
        <v>0</v>
      </c>
      <c r="AN507" s="32">
        <v>21</v>
      </c>
      <c r="AO507" s="32">
        <f>H507*0</f>
        <v>0</v>
      </c>
      <c r="AP507" s="32">
        <f>H507*(1-0)</f>
        <v>0</v>
      </c>
      <c r="AQ507" s="27" t="s">
        <v>7</v>
      </c>
      <c r="AV507" s="32">
        <f>AW507+AX507</f>
        <v>0</v>
      </c>
      <c r="AW507" s="32">
        <f>G507*AO507</f>
        <v>0</v>
      </c>
      <c r="AX507" s="32">
        <f>G507*AP507</f>
        <v>0</v>
      </c>
      <c r="AY507" s="33" t="s">
        <v>879</v>
      </c>
      <c r="AZ507" s="33" t="s">
        <v>890</v>
      </c>
      <c r="BA507" s="28" t="s">
        <v>891</v>
      </c>
      <c r="BC507" s="32">
        <f>AW507+AX507</f>
        <v>0</v>
      </c>
      <c r="BD507" s="32">
        <f>H507/(100-BE507)*100</f>
        <v>0</v>
      </c>
      <c r="BE507" s="32">
        <v>0</v>
      </c>
      <c r="BF507" s="32">
        <f>507</f>
        <v>507</v>
      </c>
      <c r="BH507" s="15">
        <f>G507*AO507</f>
        <v>0</v>
      </c>
      <c r="BI507" s="15">
        <f>G507*AP507</f>
        <v>0</v>
      </c>
      <c r="BJ507" s="15">
        <f>G507*H507</f>
        <v>0</v>
      </c>
    </row>
    <row r="508" spans="1:62" x14ac:dyDescent="0.2">
      <c r="C508" s="57" t="s">
        <v>786</v>
      </c>
      <c r="D508" s="58"/>
      <c r="E508" s="58"/>
      <c r="G508" s="16">
        <v>2.4908999999999999</v>
      </c>
    </row>
    <row r="509" spans="1:62" x14ac:dyDescent="0.2">
      <c r="A509" s="5"/>
      <c r="B509" s="13" t="s">
        <v>311</v>
      </c>
      <c r="C509" s="65" t="s">
        <v>787</v>
      </c>
      <c r="D509" s="66"/>
      <c r="E509" s="66"/>
      <c r="F509" s="5" t="s">
        <v>6</v>
      </c>
      <c r="G509" s="5" t="s">
        <v>6</v>
      </c>
      <c r="H509" s="5" t="s">
        <v>6</v>
      </c>
      <c r="I509" s="35">
        <f>SUM(I510:I510)</f>
        <v>0</v>
      </c>
      <c r="J509" s="35">
        <f>SUM(J510:J510)</f>
        <v>0</v>
      </c>
      <c r="K509" s="35">
        <f>SUM(K510:K510)</f>
        <v>0</v>
      </c>
      <c r="L509" s="28"/>
      <c r="AI509" s="28"/>
      <c r="AS509" s="35">
        <f>SUM(AJ510:AJ510)</f>
        <v>0</v>
      </c>
      <c r="AT509" s="35">
        <f>SUM(AK510:AK510)</f>
        <v>0</v>
      </c>
      <c r="AU509" s="35">
        <f>SUM(AL510:AL510)</f>
        <v>0</v>
      </c>
    </row>
    <row r="510" spans="1:62" x14ac:dyDescent="0.2">
      <c r="A510" s="4" t="s">
        <v>147</v>
      </c>
      <c r="B510" s="4" t="s">
        <v>312</v>
      </c>
      <c r="C510" s="59" t="s">
        <v>788</v>
      </c>
      <c r="D510" s="60"/>
      <c r="E510" s="60"/>
      <c r="F510" s="4" t="s">
        <v>821</v>
      </c>
      <c r="G510" s="15">
        <v>169.89420999999999</v>
      </c>
      <c r="H510" s="15">
        <v>0</v>
      </c>
      <c r="I510" s="15">
        <f>G510*AO510</f>
        <v>0</v>
      </c>
      <c r="J510" s="15">
        <f>G510*AP510</f>
        <v>0</v>
      </c>
      <c r="K510" s="15">
        <f>G510*H510</f>
        <v>0</v>
      </c>
      <c r="L510" s="27" t="s">
        <v>839</v>
      </c>
      <c r="Z510" s="32">
        <f>IF(AQ510="5",BJ510,0)</f>
        <v>0</v>
      </c>
      <c r="AB510" s="32">
        <f>IF(AQ510="1",BH510,0)</f>
        <v>0</v>
      </c>
      <c r="AC510" s="32">
        <f>IF(AQ510="1",BI510,0)</f>
        <v>0</v>
      </c>
      <c r="AD510" s="32">
        <f>IF(AQ510="7",BH510,0)</f>
        <v>0</v>
      </c>
      <c r="AE510" s="32">
        <f>IF(AQ510="7",BI510,0)</f>
        <v>0</v>
      </c>
      <c r="AF510" s="32">
        <f>IF(AQ510="2",BH510,0)</f>
        <v>0</v>
      </c>
      <c r="AG510" s="32">
        <f>IF(AQ510="2",BI510,0)</f>
        <v>0</v>
      </c>
      <c r="AH510" s="32">
        <f>IF(AQ510="0",BJ510,0)</f>
        <v>0</v>
      </c>
      <c r="AI510" s="28"/>
      <c r="AJ510" s="15">
        <f>IF(AN510=0,K510,0)</f>
        <v>0</v>
      </c>
      <c r="AK510" s="15">
        <f>IF(AN510=15,K510,0)</f>
        <v>0</v>
      </c>
      <c r="AL510" s="15">
        <f>IF(AN510=21,K510,0)</f>
        <v>0</v>
      </c>
      <c r="AN510" s="32">
        <v>21</v>
      </c>
      <c r="AO510" s="32">
        <f>H510*0</f>
        <v>0</v>
      </c>
      <c r="AP510" s="32">
        <f>H510*(1-0)</f>
        <v>0</v>
      </c>
      <c r="AQ510" s="27" t="s">
        <v>11</v>
      </c>
      <c r="AV510" s="32">
        <f>AW510+AX510</f>
        <v>0</v>
      </c>
      <c r="AW510" s="32">
        <f>G510*AO510</f>
        <v>0</v>
      </c>
      <c r="AX510" s="32">
        <f>G510*AP510</f>
        <v>0</v>
      </c>
      <c r="AY510" s="33" t="s">
        <v>880</v>
      </c>
      <c r="AZ510" s="33" t="s">
        <v>890</v>
      </c>
      <c r="BA510" s="28" t="s">
        <v>891</v>
      </c>
      <c r="BC510" s="32">
        <f>AW510+AX510</f>
        <v>0</v>
      </c>
      <c r="BD510" s="32">
        <f>H510/(100-BE510)*100</f>
        <v>0</v>
      </c>
      <c r="BE510" s="32">
        <v>0</v>
      </c>
      <c r="BF510" s="32">
        <f>510</f>
        <v>510</v>
      </c>
      <c r="BH510" s="15">
        <f>G510*AO510</f>
        <v>0</v>
      </c>
      <c r="BI510" s="15">
        <f>G510*AP510</f>
        <v>0</v>
      </c>
      <c r="BJ510" s="15">
        <f>G510*H510</f>
        <v>0</v>
      </c>
    </row>
    <row r="511" spans="1:62" x14ac:dyDescent="0.2">
      <c r="C511" s="57" t="s">
        <v>789</v>
      </c>
      <c r="D511" s="58"/>
      <c r="E511" s="58"/>
      <c r="G511" s="16">
        <v>169.89420999999999</v>
      </c>
    </row>
    <row r="512" spans="1:62" x14ac:dyDescent="0.2">
      <c r="A512" s="5"/>
      <c r="B512" s="13" t="s">
        <v>313</v>
      </c>
      <c r="C512" s="65" t="s">
        <v>790</v>
      </c>
      <c r="D512" s="66"/>
      <c r="E512" s="66"/>
      <c r="F512" s="5" t="s">
        <v>6</v>
      </c>
      <c r="G512" s="5" t="s">
        <v>6</v>
      </c>
      <c r="H512" s="5" t="s">
        <v>6</v>
      </c>
      <c r="I512" s="35">
        <f>SUM(I513:I513)</f>
        <v>0</v>
      </c>
      <c r="J512" s="35">
        <f>SUM(J513:J513)</f>
        <v>0</v>
      </c>
      <c r="K512" s="35">
        <f>SUM(K513:K513)</f>
        <v>0</v>
      </c>
      <c r="L512" s="28"/>
      <c r="AI512" s="28"/>
      <c r="AS512" s="35">
        <f>SUM(AJ513:AJ513)</f>
        <v>0</v>
      </c>
      <c r="AT512" s="35">
        <f>SUM(AK513:AK513)</f>
        <v>0</v>
      </c>
      <c r="AU512" s="35">
        <f>SUM(AL513:AL513)</f>
        <v>0</v>
      </c>
    </row>
    <row r="513" spans="1:62" x14ac:dyDescent="0.2">
      <c r="A513" s="4" t="s">
        <v>148</v>
      </c>
      <c r="B513" s="4" t="s">
        <v>314</v>
      </c>
      <c r="C513" s="59" t="s">
        <v>791</v>
      </c>
      <c r="D513" s="60"/>
      <c r="E513" s="60"/>
      <c r="F513" s="4" t="s">
        <v>817</v>
      </c>
      <c r="G513" s="15">
        <v>138.6</v>
      </c>
      <c r="H513" s="15">
        <v>0</v>
      </c>
      <c r="I513" s="15">
        <f>G513*AO513</f>
        <v>0</v>
      </c>
      <c r="J513" s="15">
        <f>G513*AP513</f>
        <v>0</v>
      </c>
      <c r="K513" s="15">
        <f>G513*H513</f>
        <v>0</v>
      </c>
      <c r="L513" s="27" t="s">
        <v>839</v>
      </c>
      <c r="Z513" s="32">
        <f>IF(AQ513="5",BJ513,0)</f>
        <v>0</v>
      </c>
      <c r="AB513" s="32">
        <f>IF(AQ513="1",BH513,0)</f>
        <v>0</v>
      </c>
      <c r="AC513" s="32">
        <f>IF(AQ513="1",BI513,0)</f>
        <v>0</v>
      </c>
      <c r="AD513" s="32">
        <f>IF(AQ513="7",BH513,0)</f>
        <v>0</v>
      </c>
      <c r="AE513" s="32">
        <f>IF(AQ513="7",BI513,0)</f>
        <v>0</v>
      </c>
      <c r="AF513" s="32">
        <f>IF(AQ513="2",BH513,0)</f>
        <v>0</v>
      </c>
      <c r="AG513" s="32">
        <f>IF(AQ513="2",BI513,0)</f>
        <v>0</v>
      </c>
      <c r="AH513" s="32">
        <f>IF(AQ513="0",BJ513,0)</f>
        <v>0</v>
      </c>
      <c r="AI513" s="28"/>
      <c r="AJ513" s="15">
        <f>IF(AN513=0,K513,0)</f>
        <v>0</v>
      </c>
      <c r="AK513" s="15">
        <f>IF(AN513=15,K513,0)</f>
        <v>0</v>
      </c>
      <c r="AL513" s="15">
        <f>IF(AN513=21,K513,0)</f>
        <v>0</v>
      </c>
      <c r="AN513" s="32">
        <v>21</v>
      </c>
      <c r="AO513" s="32">
        <f>H513*0.111111111111111</f>
        <v>0</v>
      </c>
      <c r="AP513" s="32">
        <f>H513*(1-0.111111111111111)</f>
        <v>0</v>
      </c>
      <c r="AQ513" s="27" t="s">
        <v>8</v>
      </c>
      <c r="AV513" s="32">
        <f>AW513+AX513</f>
        <v>0</v>
      </c>
      <c r="AW513" s="32">
        <f>G513*AO513</f>
        <v>0</v>
      </c>
      <c r="AX513" s="32">
        <f>G513*AP513</f>
        <v>0</v>
      </c>
      <c r="AY513" s="33" t="s">
        <v>881</v>
      </c>
      <c r="AZ513" s="33" t="s">
        <v>890</v>
      </c>
      <c r="BA513" s="28" t="s">
        <v>891</v>
      </c>
      <c r="BC513" s="32">
        <f>AW513+AX513</f>
        <v>0</v>
      </c>
      <c r="BD513" s="32">
        <f>H513/(100-BE513)*100</f>
        <v>0</v>
      </c>
      <c r="BE513" s="32">
        <v>0</v>
      </c>
      <c r="BF513" s="32">
        <f>513</f>
        <v>513</v>
      </c>
      <c r="BH513" s="15">
        <f>G513*AO513</f>
        <v>0</v>
      </c>
      <c r="BI513" s="15">
        <f>G513*AP513</f>
        <v>0</v>
      </c>
      <c r="BJ513" s="15">
        <f>G513*H513</f>
        <v>0</v>
      </c>
    </row>
    <row r="514" spans="1:62" x14ac:dyDescent="0.2">
      <c r="C514" s="57" t="s">
        <v>792</v>
      </c>
      <c r="D514" s="58"/>
      <c r="E514" s="58"/>
      <c r="G514" s="16">
        <v>138.6</v>
      </c>
    </row>
    <row r="515" spans="1:62" x14ac:dyDescent="0.2">
      <c r="A515" s="5"/>
      <c r="B515" s="13" t="s">
        <v>315</v>
      </c>
      <c r="C515" s="65" t="s">
        <v>793</v>
      </c>
      <c r="D515" s="66"/>
      <c r="E515" s="66"/>
      <c r="F515" s="5" t="s">
        <v>6</v>
      </c>
      <c r="G515" s="5" t="s">
        <v>6</v>
      </c>
      <c r="H515" s="5" t="s">
        <v>6</v>
      </c>
      <c r="I515" s="35">
        <f>SUM(I516:I534)</f>
        <v>0</v>
      </c>
      <c r="J515" s="35">
        <f>SUM(J516:J534)</f>
        <v>0</v>
      </c>
      <c r="K515" s="35">
        <f>SUM(K516:K534)</f>
        <v>0</v>
      </c>
      <c r="L515" s="28"/>
      <c r="AI515" s="28"/>
      <c r="AS515" s="35">
        <f>SUM(AJ516:AJ534)</f>
        <v>0</v>
      </c>
      <c r="AT515" s="35">
        <f>SUM(AK516:AK534)</f>
        <v>0</v>
      </c>
      <c r="AU515" s="35">
        <f>SUM(AL516:AL534)</f>
        <v>0</v>
      </c>
    </row>
    <row r="516" spans="1:62" x14ac:dyDescent="0.2">
      <c r="A516" s="4" t="s">
        <v>149</v>
      </c>
      <c r="B516" s="4" t="s">
        <v>316</v>
      </c>
      <c r="C516" s="59" t="s">
        <v>794</v>
      </c>
      <c r="D516" s="60"/>
      <c r="E516" s="60"/>
      <c r="F516" s="4" t="s">
        <v>821</v>
      </c>
      <c r="G516" s="15">
        <v>154.89079000000001</v>
      </c>
      <c r="H516" s="15">
        <v>0</v>
      </c>
      <c r="I516" s="15">
        <f>G516*AO516</f>
        <v>0</v>
      </c>
      <c r="J516" s="15">
        <f>G516*AP516</f>
        <v>0</v>
      </c>
      <c r="K516" s="15">
        <f>G516*H516</f>
        <v>0</v>
      </c>
      <c r="L516" s="27" t="s">
        <v>839</v>
      </c>
      <c r="Z516" s="32">
        <f>IF(AQ516="5",BJ516,0)</f>
        <v>0</v>
      </c>
      <c r="AB516" s="32">
        <f>IF(AQ516="1",BH516,0)</f>
        <v>0</v>
      </c>
      <c r="AC516" s="32">
        <f>IF(AQ516="1",BI516,0)</f>
        <v>0</v>
      </c>
      <c r="AD516" s="32">
        <f>IF(AQ516="7",BH516,0)</f>
        <v>0</v>
      </c>
      <c r="AE516" s="32">
        <f>IF(AQ516="7",BI516,0)</f>
        <v>0</v>
      </c>
      <c r="AF516" s="32">
        <f>IF(AQ516="2",BH516,0)</f>
        <v>0</v>
      </c>
      <c r="AG516" s="32">
        <f>IF(AQ516="2",BI516,0)</f>
        <v>0</v>
      </c>
      <c r="AH516" s="32">
        <f>IF(AQ516="0",BJ516,0)</f>
        <v>0</v>
      </c>
      <c r="AI516" s="28"/>
      <c r="AJ516" s="15">
        <f>IF(AN516=0,K516,0)</f>
        <v>0</v>
      </c>
      <c r="AK516" s="15">
        <f>IF(AN516=15,K516,0)</f>
        <v>0</v>
      </c>
      <c r="AL516" s="15">
        <f>IF(AN516=21,K516,0)</f>
        <v>0</v>
      </c>
      <c r="AN516" s="32">
        <v>21</v>
      </c>
      <c r="AO516" s="32">
        <f>H516*0</f>
        <v>0</v>
      </c>
      <c r="AP516" s="32">
        <f>H516*(1-0)</f>
        <v>0</v>
      </c>
      <c r="AQ516" s="27" t="s">
        <v>11</v>
      </c>
      <c r="AV516" s="32">
        <f>AW516+AX516</f>
        <v>0</v>
      </c>
      <c r="AW516" s="32">
        <f>G516*AO516</f>
        <v>0</v>
      </c>
      <c r="AX516" s="32">
        <f>G516*AP516</f>
        <v>0</v>
      </c>
      <c r="AY516" s="33" t="s">
        <v>882</v>
      </c>
      <c r="AZ516" s="33" t="s">
        <v>890</v>
      </c>
      <c r="BA516" s="28" t="s">
        <v>891</v>
      </c>
      <c r="BC516" s="32">
        <f>AW516+AX516</f>
        <v>0</v>
      </c>
      <c r="BD516" s="32">
        <f>H516/(100-BE516)*100</f>
        <v>0</v>
      </c>
      <c r="BE516" s="32">
        <v>0</v>
      </c>
      <c r="BF516" s="32">
        <f>516</f>
        <v>516</v>
      </c>
      <c r="BH516" s="15">
        <f>G516*AO516</f>
        <v>0</v>
      </c>
      <c r="BI516" s="15">
        <f>G516*AP516</f>
        <v>0</v>
      </c>
      <c r="BJ516" s="15">
        <f>G516*H516</f>
        <v>0</v>
      </c>
    </row>
    <row r="517" spans="1:62" x14ac:dyDescent="0.2">
      <c r="C517" s="57" t="s">
        <v>795</v>
      </c>
      <c r="D517" s="58"/>
      <c r="E517" s="58"/>
      <c r="G517" s="16">
        <v>154.89079000000001</v>
      </c>
    </row>
    <row r="518" spans="1:62" x14ac:dyDescent="0.2">
      <c r="A518" s="4" t="s">
        <v>150</v>
      </c>
      <c r="B518" s="4" t="s">
        <v>317</v>
      </c>
      <c r="C518" s="59" t="s">
        <v>796</v>
      </c>
      <c r="D518" s="60"/>
      <c r="E518" s="60"/>
      <c r="F518" s="4" t="s">
        <v>821</v>
      </c>
      <c r="G518" s="15">
        <v>154.89079000000001</v>
      </c>
      <c r="H518" s="15">
        <v>0</v>
      </c>
      <c r="I518" s="15">
        <f>G518*AO518</f>
        <v>0</v>
      </c>
      <c r="J518" s="15">
        <f>G518*AP518</f>
        <v>0</v>
      </c>
      <c r="K518" s="15">
        <f>G518*H518</f>
        <v>0</v>
      </c>
      <c r="L518" s="27" t="s">
        <v>839</v>
      </c>
      <c r="Z518" s="32">
        <f>IF(AQ518="5",BJ518,0)</f>
        <v>0</v>
      </c>
      <c r="AB518" s="32">
        <f>IF(AQ518="1",BH518,0)</f>
        <v>0</v>
      </c>
      <c r="AC518" s="32">
        <f>IF(AQ518="1",BI518,0)</f>
        <v>0</v>
      </c>
      <c r="AD518" s="32">
        <f>IF(AQ518="7",BH518,0)</f>
        <v>0</v>
      </c>
      <c r="AE518" s="32">
        <f>IF(AQ518="7",BI518,0)</f>
        <v>0</v>
      </c>
      <c r="AF518" s="32">
        <f>IF(AQ518="2",BH518,0)</f>
        <v>0</v>
      </c>
      <c r="AG518" s="32">
        <f>IF(AQ518="2",BI518,0)</f>
        <v>0</v>
      </c>
      <c r="AH518" s="32">
        <f>IF(AQ518="0",BJ518,0)</f>
        <v>0</v>
      </c>
      <c r="AI518" s="28"/>
      <c r="AJ518" s="15">
        <f>IF(AN518=0,K518,0)</f>
        <v>0</v>
      </c>
      <c r="AK518" s="15">
        <f>IF(AN518=15,K518,0)</f>
        <v>0</v>
      </c>
      <c r="AL518" s="15">
        <f>IF(AN518=21,K518,0)</f>
        <v>0</v>
      </c>
      <c r="AN518" s="32">
        <v>21</v>
      </c>
      <c r="AO518" s="32">
        <f>H518*0</f>
        <v>0</v>
      </c>
      <c r="AP518" s="32">
        <f>H518*(1-0)</f>
        <v>0</v>
      </c>
      <c r="AQ518" s="27" t="s">
        <v>11</v>
      </c>
      <c r="AV518" s="32">
        <f>AW518+AX518</f>
        <v>0</v>
      </c>
      <c r="AW518" s="32">
        <f>G518*AO518</f>
        <v>0</v>
      </c>
      <c r="AX518" s="32">
        <f>G518*AP518</f>
        <v>0</v>
      </c>
      <c r="AY518" s="33" t="s">
        <v>882</v>
      </c>
      <c r="AZ518" s="33" t="s">
        <v>890</v>
      </c>
      <c r="BA518" s="28" t="s">
        <v>891</v>
      </c>
      <c r="BC518" s="32">
        <f>AW518+AX518</f>
        <v>0</v>
      </c>
      <c r="BD518" s="32">
        <f>H518/(100-BE518)*100</f>
        <v>0</v>
      </c>
      <c r="BE518" s="32">
        <v>0</v>
      </c>
      <c r="BF518" s="32">
        <f>518</f>
        <v>518</v>
      </c>
      <c r="BH518" s="15">
        <f>G518*AO518</f>
        <v>0</v>
      </c>
      <c r="BI518" s="15">
        <f>G518*AP518</f>
        <v>0</v>
      </c>
      <c r="BJ518" s="15">
        <f>G518*H518</f>
        <v>0</v>
      </c>
    </row>
    <row r="519" spans="1:62" x14ac:dyDescent="0.2">
      <c r="C519" s="57" t="s">
        <v>795</v>
      </c>
      <c r="D519" s="58"/>
      <c r="E519" s="58"/>
      <c r="G519" s="16">
        <v>154.89079000000001</v>
      </c>
    </row>
    <row r="520" spans="1:62" x14ac:dyDescent="0.2">
      <c r="A520" s="4" t="s">
        <v>151</v>
      </c>
      <c r="B520" s="4" t="s">
        <v>318</v>
      </c>
      <c r="C520" s="59" t="s">
        <v>797</v>
      </c>
      <c r="D520" s="60"/>
      <c r="E520" s="60"/>
      <c r="F520" s="4" t="s">
        <v>821</v>
      </c>
      <c r="G520" s="15">
        <v>154.89079000000001</v>
      </c>
      <c r="H520" s="15">
        <v>0</v>
      </c>
      <c r="I520" s="15">
        <f>G520*AO520</f>
        <v>0</v>
      </c>
      <c r="J520" s="15">
        <f>G520*AP520</f>
        <v>0</v>
      </c>
      <c r="K520" s="15">
        <f>G520*H520</f>
        <v>0</v>
      </c>
      <c r="L520" s="27" t="s">
        <v>839</v>
      </c>
      <c r="Z520" s="32">
        <f>IF(AQ520="5",BJ520,0)</f>
        <v>0</v>
      </c>
      <c r="AB520" s="32">
        <f>IF(AQ520="1",BH520,0)</f>
        <v>0</v>
      </c>
      <c r="AC520" s="32">
        <f>IF(AQ520="1",BI520,0)</f>
        <v>0</v>
      </c>
      <c r="AD520" s="32">
        <f>IF(AQ520="7",BH520,0)</f>
        <v>0</v>
      </c>
      <c r="AE520" s="32">
        <f>IF(AQ520="7",BI520,0)</f>
        <v>0</v>
      </c>
      <c r="AF520" s="32">
        <f>IF(AQ520="2",BH520,0)</f>
        <v>0</v>
      </c>
      <c r="AG520" s="32">
        <f>IF(AQ520="2",BI520,0)</f>
        <v>0</v>
      </c>
      <c r="AH520" s="32">
        <f>IF(AQ520="0",BJ520,0)</f>
        <v>0</v>
      </c>
      <c r="AI520" s="28"/>
      <c r="AJ520" s="15">
        <f>IF(AN520=0,K520,0)</f>
        <v>0</v>
      </c>
      <c r="AK520" s="15">
        <f>IF(AN520=15,K520,0)</f>
        <v>0</v>
      </c>
      <c r="AL520" s="15">
        <f>IF(AN520=21,K520,0)</f>
        <v>0</v>
      </c>
      <c r="AN520" s="32">
        <v>21</v>
      </c>
      <c r="AO520" s="32">
        <f>H520*0</f>
        <v>0</v>
      </c>
      <c r="AP520" s="32">
        <f>H520*(1-0)</f>
        <v>0</v>
      </c>
      <c r="AQ520" s="27" t="s">
        <v>11</v>
      </c>
      <c r="AV520" s="32">
        <f>AW520+AX520</f>
        <v>0</v>
      </c>
      <c r="AW520" s="32">
        <f>G520*AO520</f>
        <v>0</v>
      </c>
      <c r="AX520" s="32">
        <f>G520*AP520</f>
        <v>0</v>
      </c>
      <c r="AY520" s="33" t="s">
        <v>882</v>
      </c>
      <c r="AZ520" s="33" t="s">
        <v>890</v>
      </c>
      <c r="BA520" s="28" t="s">
        <v>891</v>
      </c>
      <c r="BC520" s="32">
        <f>AW520+AX520</f>
        <v>0</v>
      </c>
      <c r="BD520" s="32">
        <f>H520/(100-BE520)*100</f>
        <v>0</v>
      </c>
      <c r="BE520" s="32">
        <v>0</v>
      </c>
      <c r="BF520" s="32">
        <f>520</f>
        <v>520</v>
      </c>
      <c r="BH520" s="15">
        <f>G520*AO520</f>
        <v>0</v>
      </c>
      <c r="BI520" s="15">
        <f>G520*AP520</f>
        <v>0</v>
      </c>
      <c r="BJ520" s="15">
        <f>G520*H520</f>
        <v>0</v>
      </c>
    </row>
    <row r="521" spans="1:62" x14ac:dyDescent="0.2">
      <c r="C521" s="57" t="s">
        <v>795</v>
      </c>
      <c r="D521" s="58"/>
      <c r="E521" s="58"/>
      <c r="G521" s="16">
        <v>154.89079000000001</v>
      </c>
    </row>
    <row r="522" spans="1:62" x14ac:dyDescent="0.2">
      <c r="A522" s="4" t="s">
        <v>152</v>
      </c>
      <c r="B522" s="4" t="s">
        <v>319</v>
      </c>
      <c r="C522" s="59" t="s">
        <v>798</v>
      </c>
      <c r="D522" s="60"/>
      <c r="E522" s="60"/>
      <c r="F522" s="4" t="s">
        <v>821</v>
      </c>
      <c r="G522" s="15">
        <v>154.89079000000001</v>
      </c>
      <c r="H522" s="15">
        <v>0</v>
      </c>
      <c r="I522" s="15">
        <f>G522*AO522</f>
        <v>0</v>
      </c>
      <c r="J522" s="15">
        <f>G522*AP522</f>
        <v>0</v>
      </c>
      <c r="K522" s="15">
        <f>G522*H522</f>
        <v>0</v>
      </c>
      <c r="L522" s="27" t="s">
        <v>839</v>
      </c>
      <c r="Z522" s="32">
        <f>IF(AQ522="5",BJ522,0)</f>
        <v>0</v>
      </c>
      <c r="AB522" s="32">
        <f>IF(AQ522="1",BH522,0)</f>
        <v>0</v>
      </c>
      <c r="AC522" s="32">
        <f>IF(AQ522="1",BI522,0)</f>
        <v>0</v>
      </c>
      <c r="AD522" s="32">
        <f>IF(AQ522="7",BH522,0)</f>
        <v>0</v>
      </c>
      <c r="AE522" s="32">
        <f>IF(AQ522="7",BI522,0)</f>
        <v>0</v>
      </c>
      <c r="AF522" s="32">
        <f>IF(AQ522="2",BH522,0)</f>
        <v>0</v>
      </c>
      <c r="AG522" s="32">
        <f>IF(AQ522="2",BI522,0)</f>
        <v>0</v>
      </c>
      <c r="AH522" s="32">
        <f>IF(AQ522="0",BJ522,0)</f>
        <v>0</v>
      </c>
      <c r="AI522" s="28"/>
      <c r="AJ522" s="15">
        <f>IF(AN522=0,K522,0)</f>
        <v>0</v>
      </c>
      <c r="AK522" s="15">
        <f>IF(AN522=15,K522,0)</f>
        <v>0</v>
      </c>
      <c r="AL522" s="15">
        <f>IF(AN522=21,K522,0)</f>
        <v>0</v>
      </c>
      <c r="AN522" s="32">
        <v>21</v>
      </c>
      <c r="AO522" s="32">
        <f>H522*0</f>
        <v>0</v>
      </c>
      <c r="AP522" s="32">
        <f>H522*(1-0)</f>
        <v>0</v>
      </c>
      <c r="AQ522" s="27" t="s">
        <v>11</v>
      </c>
      <c r="AV522" s="32">
        <f>AW522+AX522</f>
        <v>0</v>
      </c>
      <c r="AW522" s="32">
        <f>G522*AO522</f>
        <v>0</v>
      </c>
      <c r="AX522" s="32">
        <f>G522*AP522</f>
        <v>0</v>
      </c>
      <c r="AY522" s="33" t="s">
        <v>882</v>
      </c>
      <c r="AZ522" s="33" t="s">
        <v>890</v>
      </c>
      <c r="BA522" s="28" t="s">
        <v>891</v>
      </c>
      <c r="BC522" s="32">
        <f>AW522+AX522</f>
        <v>0</v>
      </c>
      <c r="BD522" s="32">
        <f>H522/(100-BE522)*100</f>
        <v>0</v>
      </c>
      <c r="BE522" s="32">
        <v>0</v>
      </c>
      <c r="BF522" s="32">
        <f>522</f>
        <v>522</v>
      </c>
      <c r="BH522" s="15">
        <f>G522*AO522</f>
        <v>0</v>
      </c>
      <c r="BI522" s="15">
        <f>G522*AP522</f>
        <v>0</v>
      </c>
      <c r="BJ522" s="15">
        <f>G522*H522</f>
        <v>0</v>
      </c>
    </row>
    <row r="523" spans="1:62" x14ac:dyDescent="0.2">
      <c r="C523" s="57" t="s">
        <v>795</v>
      </c>
      <c r="D523" s="58"/>
      <c r="E523" s="58"/>
      <c r="G523" s="16">
        <v>154.89079000000001</v>
      </c>
    </row>
    <row r="524" spans="1:62" x14ac:dyDescent="0.2">
      <c r="A524" s="4" t="s">
        <v>153</v>
      </c>
      <c r="B524" s="4" t="s">
        <v>320</v>
      </c>
      <c r="C524" s="59" t="s">
        <v>799</v>
      </c>
      <c r="D524" s="60"/>
      <c r="E524" s="60"/>
      <c r="F524" s="4" t="s">
        <v>821</v>
      </c>
      <c r="G524" s="15">
        <v>154.89079000000001</v>
      </c>
      <c r="H524" s="15">
        <v>0</v>
      </c>
      <c r="I524" s="15">
        <f>G524*AO524</f>
        <v>0</v>
      </c>
      <c r="J524" s="15">
        <f>G524*AP524</f>
        <v>0</v>
      </c>
      <c r="K524" s="15">
        <f>G524*H524</f>
        <v>0</v>
      </c>
      <c r="L524" s="27" t="s">
        <v>839</v>
      </c>
      <c r="Z524" s="32">
        <f>IF(AQ524="5",BJ524,0)</f>
        <v>0</v>
      </c>
      <c r="AB524" s="32">
        <f>IF(AQ524="1",BH524,0)</f>
        <v>0</v>
      </c>
      <c r="AC524" s="32">
        <f>IF(AQ524="1",BI524,0)</f>
        <v>0</v>
      </c>
      <c r="AD524" s="32">
        <f>IF(AQ524="7",BH524,0)</f>
        <v>0</v>
      </c>
      <c r="AE524" s="32">
        <f>IF(AQ524="7",BI524,0)</f>
        <v>0</v>
      </c>
      <c r="AF524" s="32">
        <f>IF(AQ524="2",BH524,0)</f>
        <v>0</v>
      </c>
      <c r="AG524" s="32">
        <f>IF(AQ524="2",BI524,0)</f>
        <v>0</v>
      </c>
      <c r="AH524" s="32">
        <f>IF(AQ524="0",BJ524,0)</f>
        <v>0</v>
      </c>
      <c r="AI524" s="28"/>
      <c r="AJ524" s="15">
        <f>IF(AN524=0,K524,0)</f>
        <v>0</v>
      </c>
      <c r="AK524" s="15">
        <f>IF(AN524=15,K524,0)</f>
        <v>0</v>
      </c>
      <c r="AL524" s="15">
        <f>IF(AN524=21,K524,0)</f>
        <v>0</v>
      </c>
      <c r="AN524" s="32">
        <v>21</v>
      </c>
      <c r="AO524" s="32">
        <f>H524*0</f>
        <v>0</v>
      </c>
      <c r="AP524" s="32">
        <f>H524*(1-0)</f>
        <v>0</v>
      </c>
      <c r="AQ524" s="27" t="s">
        <v>11</v>
      </c>
      <c r="AV524" s="32">
        <f>AW524+AX524</f>
        <v>0</v>
      </c>
      <c r="AW524" s="32">
        <f>G524*AO524</f>
        <v>0</v>
      </c>
      <c r="AX524" s="32">
        <f>G524*AP524</f>
        <v>0</v>
      </c>
      <c r="AY524" s="33" t="s">
        <v>882</v>
      </c>
      <c r="AZ524" s="33" t="s">
        <v>890</v>
      </c>
      <c r="BA524" s="28" t="s">
        <v>891</v>
      </c>
      <c r="BC524" s="32">
        <f>AW524+AX524</f>
        <v>0</v>
      </c>
      <c r="BD524" s="32">
        <f>H524/(100-BE524)*100</f>
        <v>0</v>
      </c>
      <c r="BE524" s="32">
        <v>0</v>
      </c>
      <c r="BF524" s="32">
        <f>524</f>
        <v>524</v>
      </c>
      <c r="BH524" s="15">
        <f>G524*AO524</f>
        <v>0</v>
      </c>
      <c r="BI524" s="15">
        <f>G524*AP524</f>
        <v>0</v>
      </c>
      <c r="BJ524" s="15">
        <f>G524*H524</f>
        <v>0</v>
      </c>
    </row>
    <row r="525" spans="1:62" x14ac:dyDescent="0.2">
      <c r="C525" s="57" t="s">
        <v>795</v>
      </c>
      <c r="D525" s="58"/>
      <c r="E525" s="58"/>
      <c r="G525" s="16">
        <v>154.89079000000001</v>
      </c>
    </row>
    <row r="526" spans="1:62" x14ac:dyDescent="0.2">
      <c r="A526" s="4" t="s">
        <v>154</v>
      </c>
      <c r="B526" s="4" t="s">
        <v>321</v>
      </c>
      <c r="C526" s="59" t="s">
        <v>800</v>
      </c>
      <c r="D526" s="60"/>
      <c r="E526" s="60"/>
      <c r="F526" s="4" t="s">
        <v>821</v>
      </c>
      <c r="G526" s="15">
        <v>2942.9250099999999</v>
      </c>
      <c r="H526" s="15">
        <v>0</v>
      </c>
      <c r="I526" s="15">
        <f>G526*AO526</f>
        <v>0</v>
      </c>
      <c r="J526" s="15">
        <f>G526*AP526</f>
        <v>0</v>
      </c>
      <c r="K526" s="15">
        <f>G526*H526</f>
        <v>0</v>
      </c>
      <c r="L526" s="27" t="s">
        <v>839</v>
      </c>
      <c r="Z526" s="32">
        <f>IF(AQ526="5",BJ526,0)</f>
        <v>0</v>
      </c>
      <c r="AB526" s="32">
        <f>IF(AQ526="1",BH526,0)</f>
        <v>0</v>
      </c>
      <c r="AC526" s="32">
        <f>IF(AQ526="1",BI526,0)</f>
        <v>0</v>
      </c>
      <c r="AD526" s="32">
        <f>IF(AQ526="7",BH526,0)</f>
        <v>0</v>
      </c>
      <c r="AE526" s="32">
        <f>IF(AQ526="7",BI526,0)</f>
        <v>0</v>
      </c>
      <c r="AF526" s="32">
        <f>IF(AQ526="2",BH526,0)</f>
        <v>0</v>
      </c>
      <c r="AG526" s="32">
        <f>IF(AQ526="2",BI526,0)</f>
        <v>0</v>
      </c>
      <c r="AH526" s="32">
        <f>IF(AQ526="0",BJ526,0)</f>
        <v>0</v>
      </c>
      <c r="AI526" s="28"/>
      <c r="AJ526" s="15">
        <f>IF(AN526=0,K526,0)</f>
        <v>0</v>
      </c>
      <c r="AK526" s="15">
        <f>IF(AN526=15,K526,0)</f>
        <v>0</v>
      </c>
      <c r="AL526" s="15">
        <f>IF(AN526=21,K526,0)</f>
        <v>0</v>
      </c>
      <c r="AN526" s="32">
        <v>21</v>
      </c>
      <c r="AO526" s="32">
        <f>H526*0</f>
        <v>0</v>
      </c>
      <c r="AP526" s="32">
        <f>H526*(1-0)</f>
        <v>0</v>
      </c>
      <c r="AQ526" s="27" t="s">
        <v>11</v>
      </c>
      <c r="AV526" s="32">
        <f>AW526+AX526</f>
        <v>0</v>
      </c>
      <c r="AW526" s="32">
        <f>G526*AO526</f>
        <v>0</v>
      </c>
      <c r="AX526" s="32">
        <f>G526*AP526</f>
        <v>0</v>
      </c>
      <c r="AY526" s="33" t="s">
        <v>882</v>
      </c>
      <c r="AZ526" s="33" t="s">
        <v>890</v>
      </c>
      <c r="BA526" s="28" t="s">
        <v>891</v>
      </c>
      <c r="BC526" s="32">
        <f>AW526+AX526</f>
        <v>0</v>
      </c>
      <c r="BD526" s="32">
        <f>H526/(100-BE526)*100</f>
        <v>0</v>
      </c>
      <c r="BE526" s="32">
        <v>0</v>
      </c>
      <c r="BF526" s="32">
        <f>526</f>
        <v>526</v>
      </c>
      <c r="BH526" s="15">
        <f>G526*AO526</f>
        <v>0</v>
      </c>
      <c r="BI526" s="15">
        <f>G526*AP526</f>
        <v>0</v>
      </c>
      <c r="BJ526" s="15">
        <f>G526*H526</f>
        <v>0</v>
      </c>
    </row>
    <row r="527" spans="1:62" x14ac:dyDescent="0.2">
      <c r="C527" s="57" t="s">
        <v>801</v>
      </c>
      <c r="D527" s="58"/>
      <c r="E527" s="58"/>
      <c r="G527" s="16">
        <v>2942.9250099999999</v>
      </c>
    </row>
    <row r="528" spans="1:62" x14ac:dyDescent="0.2">
      <c r="A528" s="4" t="s">
        <v>155</v>
      </c>
      <c r="B528" s="4" t="s">
        <v>322</v>
      </c>
      <c r="C528" s="59" t="s">
        <v>802</v>
      </c>
      <c r="D528" s="60"/>
      <c r="E528" s="60"/>
      <c r="F528" s="4" t="s">
        <v>821</v>
      </c>
      <c r="G528" s="15">
        <v>19.776</v>
      </c>
      <c r="H528" s="15">
        <v>0</v>
      </c>
      <c r="I528" s="15">
        <f>G528*AO528</f>
        <v>0</v>
      </c>
      <c r="J528" s="15">
        <f>G528*AP528</f>
        <v>0</v>
      </c>
      <c r="K528" s="15">
        <f>G528*H528</f>
        <v>0</v>
      </c>
      <c r="L528" s="27" t="s">
        <v>839</v>
      </c>
      <c r="Z528" s="32">
        <f>IF(AQ528="5",BJ528,0)</f>
        <v>0</v>
      </c>
      <c r="AB528" s="32">
        <f>IF(AQ528="1",BH528,0)</f>
        <v>0</v>
      </c>
      <c r="AC528" s="32">
        <f>IF(AQ528="1",BI528,0)</f>
        <v>0</v>
      </c>
      <c r="AD528" s="32">
        <f>IF(AQ528="7",BH528,0)</f>
        <v>0</v>
      </c>
      <c r="AE528" s="32">
        <f>IF(AQ528="7",BI528,0)</f>
        <v>0</v>
      </c>
      <c r="AF528" s="32">
        <f>IF(AQ528="2",BH528,0)</f>
        <v>0</v>
      </c>
      <c r="AG528" s="32">
        <f>IF(AQ528="2",BI528,0)</f>
        <v>0</v>
      </c>
      <c r="AH528" s="32">
        <f>IF(AQ528="0",BJ528,0)</f>
        <v>0</v>
      </c>
      <c r="AI528" s="28"/>
      <c r="AJ528" s="15">
        <f>IF(AN528=0,K528,0)</f>
        <v>0</v>
      </c>
      <c r="AK528" s="15">
        <f>IF(AN528=15,K528,0)</f>
        <v>0</v>
      </c>
      <c r="AL528" s="15">
        <f>IF(AN528=21,K528,0)</f>
        <v>0</v>
      </c>
      <c r="AN528" s="32">
        <v>21</v>
      </c>
      <c r="AO528" s="32">
        <f>H528*0</f>
        <v>0</v>
      </c>
      <c r="AP528" s="32">
        <f>H528*(1-0)</f>
        <v>0</v>
      </c>
      <c r="AQ528" s="27" t="s">
        <v>11</v>
      </c>
      <c r="AV528" s="32">
        <f>AW528+AX528</f>
        <v>0</v>
      </c>
      <c r="AW528" s="32">
        <f>G528*AO528</f>
        <v>0</v>
      </c>
      <c r="AX528" s="32">
        <f>G528*AP528</f>
        <v>0</v>
      </c>
      <c r="AY528" s="33" t="s">
        <v>882</v>
      </c>
      <c r="AZ528" s="33" t="s">
        <v>890</v>
      </c>
      <c r="BA528" s="28" t="s">
        <v>891</v>
      </c>
      <c r="BC528" s="32">
        <f>AW528+AX528</f>
        <v>0</v>
      </c>
      <c r="BD528" s="32">
        <f>H528/(100-BE528)*100</f>
        <v>0</v>
      </c>
      <c r="BE528" s="32">
        <v>0</v>
      </c>
      <c r="BF528" s="32">
        <f>528</f>
        <v>528</v>
      </c>
      <c r="BH528" s="15">
        <f>G528*AO528</f>
        <v>0</v>
      </c>
      <c r="BI528" s="15">
        <f>G528*AP528</f>
        <v>0</v>
      </c>
      <c r="BJ528" s="15">
        <f>G528*H528</f>
        <v>0</v>
      </c>
    </row>
    <row r="529" spans="1:62" x14ac:dyDescent="0.2">
      <c r="C529" s="57" t="s">
        <v>803</v>
      </c>
      <c r="D529" s="58"/>
      <c r="E529" s="58"/>
      <c r="G529" s="16">
        <v>19.776</v>
      </c>
    </row>
    <row r="530" spans="1:62" x14ac:dyDescent="0.2">
      <c r="A530" s="4" t="s">
        <v>156</v>
      </c>
      <c r="B530" s="4" t="s">
        <v>323</v>
      </c>
      <c r="C530" s="59" t="s">
        <v>804</v>
      </c>
      <c r="D530" s="60"/>
      <c r="E530" s="60"/>
      <c r="F530" s="4" t="s">
        <v>821</v>
      </c>
      <c r="G530" s="15">
        <v>15.414</v>
      </c>
      <c r="H530" s="15">
        <v>0</v>
      </c>
      <c r="I530" s="15">
        <f>G530*AO530</f>
        <v>0</v>
      </c>
      <c r="J530" s="15">
        <f>G530*AP530</f>
        <v>0</v>
      </c>
      <c r="K530" s="15">
        <f>G530*H530</f>
        <v>0</v>
      </c>
      <c r="L530" s="27" t="s">
        <v>839</v>
      </c>
      <c r="Z530" s="32">
        <f>IF(AQ530="5",BJ530,0)</f>
        <v>0</v>
      </c>
      <c r="AB530" s="32">
        <f>IF(AQ530="1",BH530,0)</f>
        <v>0</v>
      </c>
      <c r="AC530" s="32">
        <f>IF(AQ530="1",BI530,0)</f>
        <v>0</v>
      </c>
      <c r="AD530" s="32">
        <f>IF(AQ530="7",BH530,0)</f>
        <v>0</v>
      </c>
      <c r="AE530" s="32">
        <f>IF(AQ530="7",BI530,0)</f>
        <v>0</v>
      </c>
      <c r="AF530" s="32">
        <f>IF(AQ530="2",BH530,0)</f>
        <v>0</v>
      </c>
      <c r="AG530" s="32">
        <f>IF(AQ530="2",BI530,0)</f>
        <v>0</v>
      </c>
      <c r="AH530" s="32">
        <f>IF(AQ530="0",BJ530,0)</f>
        <v>0</v>
      </c>
      <c r="AI530" s="28"/>
      <c r="AJ530" s="15">
        <f>IF(AN530=0,K530,0)</f>
        <v>0</v>
      </c>
      <c r="AK530" s="15">
        <f>IF(AN530=15,K530,0)</f>
        <v>0</v>
      </c>
      <c r="AL530" s="15">
        <f>IF(AN530=21,K530,0)</f>
        <v>0</v>
      </c>
      <c r="AN530" s="32">
        <v>21</v>
      </c>
      <c r="AO530" s="32">
        <f>H530*0</f>
        <v>0</v>
      </c>
      <c r="AP530" s="32">
        <f>H530*(1-0)</f>
        <v>0</v>
      </c>
      <c r="AQ530" s="27" t="s">
        <v>11</v>
      </c>
      <c r="AV530" s="32">
        <f>AW530+AX530</f>
        <v>0</v>
      </c>
      <c r="AW530" s="32">
        <f>G530*AO530</f>
        <v>0</v>
      </c>
      <c r="AX530" s="32">
        <f>G530*AP530</f>
        <v>0</v>
      </c>
      <c r="AY530" s="33" t="s">
        <v>882</v>
      </c>
      <c r="AZ530" s="33" t="s">
        <v>890</v>
      </c>
      <c r="BA530" s="28" t="s">
        <v>891</v>
      </c>
      <c r="BC530" s="32">
        <f>AW530+AX530</f>
        <v>0</v>
      </c>
      <c r="BD530" s="32">
        <f>H530/(100-BE530)*100</f>
        <v>0</v>
      </c>
      <c r="BE530" s="32">
        <v>0</v>
      </c>
      <c r="BF530" s="32">
        <f>530</f>
        <v>530</v>
      </c>
      <c r="BH530" s="15">
        <f>G530*AO530</f>
        <v>0</v>
      </c>
      <c r="BI530" s="15">
        <f>G530*AP530</f>
        <v>0</v>
      </c>
      <c r="BJ530" s="15">
        <f>G530*H530</f>
        <v>0</v>
      </c>
    </row>
    <row r="531" spans="1:62" x14ac:dyDescent="0.2">
      <c r="C531" s="57" t="s">
        <v>805</v>
      </c>
      <c r="D531" s="58"/>
      <c r="E531" s="58"/>
      <c r="G531" s="16">
        <v>15.414</v>
      </c>
    </row>
    <row r="532" spans="1:62" x14ac:dyDescent="0.2">
      <c r="A532" s="4" t="s">
        <v>157</v>
      </c>
      <c r="B532" s="4" t="s">
        <v>324</v>
      </c>
      <c r="C532" s="59" t="s">
        <v>806</v>
      </c>
      <c r="D532" s="60"/>
      <c r="E532" s="60"/>
      <c r="F532" s="4" t="s">
        <v>821</v>
      </c>
      <c r="G532" s="15">
        <v>86.67</v>
      </c>
      <c r="H532" s="15">
        <v>0</v>
      </c>
      <c r="I532" s="15">
        <f>G532*AO532</f>
        <v>0</v>
      </c>
      <c r="J532" s="15">
        <f>G532*AP532</f>
        <v>0</v>
      </c>
      <c r="K532" s="15">
        <f>G532*H532</f>
        <v>0</v>
      </c>
      <c r="L532" s="27" t="s">
        <v>839</v>
      </c>
      <c r="Z532" s="32">
        <f>IF(AQ532="5",BJ532,0)</f>
        <v>0</v>
      </c>
      <c r="AB532" s="32">
        <f>IF(AQ532="1",BH532,0)</f>
        <v>0</v>
      </c>
      <c r="AC532" s="32">
        <f>IF(AQ532="1",BI532,0)</f>
        <v>0</v>
      </c>
      <c r="AD532" s="32">
        <f>IF(AQ532="7",BH532,0)</f>
        <v>0</v>
      </c>
      <c r="AE532" s="32">
        <f>IF(AQ532="7",BI532,0)</f>
        <v>0</v>
      </c>
      <c r="AF532" s="32">
        <f>IF(AQ532="2",BH532,0)</f>
        <v>0</v>
      </c>
      <c r="AG532" s="32">
        <f>IF(AQ532="2",BI532,0)</f>
        <v>0</v>
      </c>
      <c r="AH532" s="32">
        <f>IF(AQ532="0",BJ532,0)</f>
        <v>0</v>
      </c>
      <c r="AI532" s="28"/>
      <c r="AJ532" s="15">
        <f>IF(AN532=0,K532,0)</f>
        <v>0</v>
      </c>
      <c r="AK532" s="15">
        <f>IF(AN532=15,K532,0)</f>
        <v>0</v>
      </c>
      <c r="AL532" s="15">
        <f>IF(AN532=21,K532,0)</f>
        <v>0</v>
      </c>
      <c r="AN532" s="32">
        <v>21</v>
      </c>
      <c r="AO532" s="32">
        <f>H532*0</f>
        <v>0</v>
      </c>
      <c r="AP532" s="32">
        <f>H532*(1-0)</f>
        <v>0</v>
      </c>
      <c r="AQ532" s="27" t="s">
        <v>11</v>
      </c>
      <c r="AV532" s="32">
        <f>AW532+AX532</f>
        <v>0</v>
      </c>
      <c r="AW532" s="32">
        <f>G532*AO532</f>
        <v>0</v>
      </c>
      <c r="AX532" s="32">
        <f>G532*AP532</f>
        <v>0</v>
      </c>
      <c r="AY532" s="33" t="s">
        <v>882</v>
      </c>
      <c r="AZ532" s="33" t="s">
        <v>890</v>
      </c>
      <c r="BA532" s="28" t="s">
        <v>891</v>
      </c>
      <c r="BC532" s="32">
        <f>AW532+AX532</f>
        <v>0</v>
      </c>
      <c r="BD532" s="32">
        <f>H532/(100-BE532)*100</f>
        <v>0</v>
      </c>
      <c r="BE532" s="32">
        <v>0</v>
      </c>
      <c r="BF532" s="32">
        <f>532</f>
        <v>532</v>
      </c>
      <c r="BH532" s="15">
        <f>G532*AO532</f>
        <v>0</v>
      </c>
      <c r="BI532" s="15">
        <f>G532*AP532</f>
        <v>0</v>
      </c>
      <c r="BJ532" s="15">
        <f>G532*H532</f>
        <v>0</v>
      </c>
    </row>
    <row r="533" spans="1:62" x14ac:dyDescent="0.2">
      <c r="C533" s="57" t="s">
        <v>807</v>
      </c>
      <c r="D533" s="58"/>
      <c r="E533" s="58"/>
      <c r="G533" s="16">
        <v>86.67</v>
      </c>
    </row>
    <row r="534" spans="1:62" x14ac:dyDescent="0.2">
      <c r="A534" s="4" t="s">
        <v>158</v>
      </c>
      <c r="B534" s="4" t="s">
        <v>325</v>
      </c>
      <c r="C534" s="59" t="s">
        <v>808</v>
      </c>
      <c r="D534" s="60"/>
      <c r="E534" s="60"/>
      <c r="F534" s="4" t="s">
        <v>821</v>
      </c>
      <c r="G534" s="15">
        <v>33.03</v>
      </c>
      <c r="H534" s="15">
        <v>0</v>
      </c>
      <c r="I534" s="15">
        <f>G534*AO534</f>
        <v>0</v>
      </c>
      <c r="J534" s="15">
        <f>G534*AP534</f>
        <v>0</v>
      </c>
      <c r="K534" s="15">
        <f>G534*H534</f>
        <v>0</v>
      </c>
      <c r="L534" s="27" t="s">
        <v>841</v>
      </c>
      <c r="Z534" s="32">
        <f>IF(AQ534="5",BJ534,0)</f>
        <v>0</v>
      </c>
      <c r="AB534" s="32">
        <f>IF(AQ534="1",BH534,0)</f>
        <v>0</v>
      </c>
      <c r="AC534" s="32">
        <f>IF(AQ534="1",BI534,0)</f>
        <v>0</v>
      </c>
      <c r="AD534" s="32">
        <f>IF(AQ534="7",BH534,0)</f>
        <v>0</v>
      </c>
      <c r="AE534" s="32">
        <f>IF(AQ534="7",BI534,0)</f>
        <v>0</v>
      </c>
      <c r="AF534" s="32">
        <f>IF(AQ534="2",BH534,0)</f>
        <v>0</v>
      </c>
      <c r="AG534" s="32">
        <f>IF(AQ534="2",BI534,0)</f>
        <v>0</v>
      </c>
      <c r="AH534" s="32">
        <f>IF(AQ534="0",BJ534,0)</f>
        <v>0</v>
      </c>
      <c r="AI534" s="28"/>
      <c r="AJ534" s="15">
        <f>IF(AN534=0,K534,0)</f>
        <v>0</v>
      </c>
      <c r="AK534" s="15">
        <f>IF(AN534=15,K534,0)</f>
        <v>0</v>
      </c>
      <c r="AL534" s="15">
        <f>IF(AN534=21,K534,0)</f>
        <v>0</v>
      </c>
      <c r="AN534" s="32">
        <v>21</v>
      </c>
      <c r="AO534" s="32">
        <f>H534*0</f>
        <v>0</v>
      </c>
      <c r="AP534" s="32">
        <f>H534*(1-0)</f>
        <v>0</v>
      </c>
      <c r="AQ534" s="27" t="s">
        <v>11</v>
      </c>
      <c r="AV534" s="32">
        <f>AW534+AX534</f>
        <v>0</v>
      </c>
      <c r="AW534" s="32">
        <f>G534*AO534</f>
        <v>0</v>
      </c>
      <c r="AX534" s="32">
        <f>G534*AP534</f>
        <v>0</v>
      </c>
      <c r="AY534" s="33" t="s">
        <v>882</v>
      </c>
      <c r="AZ534" s="33" t="s">
        <v>890</v>
      </c>
      <c r="BA534" s="28" t="s">
        <v>891</v>
      </c>
      <c r="BC534" s="32">
        <f>AW534+AX534</f>
        <v>0</v>
      </c>
      <c r="BD534" s="32">
        <f>H534/(100-BE534)*100</f>
        <v>0</v>
      </c>
      <c r="BE534" s="32">
        <v>0</v>
      </c>
      <c r="BF534" s="32">
        <f>534</f>
        <v>534</v>
      </c>
      <c r="BH534" s="15">
        <f>G534*AO534</f>
        <v>0</v>
      </c>
      <c r="BI534" s="15">
        <f>G534*AP534</f>
        <v>0</v>
      </c>
      <c r="BJ534" s="15">
        <f>G534*H534</f>
        <v>0</v>
      </c>
    </row>
    <row r="535" spans="1:62" x14ac:dyDescent="0.2">
      <c r="A535" s="7"/>
      <c r="B535" s="7"/>
      <c r="C535" s="61" t="s">
        <v>809</v>
      </c>
      <c r="D535" s="62"/>
      <c r="E535" s="62"/>
      <c r="F535" s="7"/>
      <c r="G535" s="18">
        <v>33.03</v>
      </c>
      <c r="H535" s="7"/>
      <c r="I535" s="7"/>
      <c r="J535" s="7"/>
      <c r="K535" s="7"/>
      <c r="L535" s="7"/>
    </row>
    <row r="536" spans="1:62" x14ac:dyDescent="0.2">
      <c r="A536" s="8"/>
      <c r="B536" s="8"/>
      <c r="C536" s="8"/>
      <c r="D536" s="8"/>
      <c r="E536" s="8"/>
      <c r="F536" s="8"/>
      <c r="G536" s="8"/>
      <c r="H536" s="8"/>
      <c r="I536" s="63" t="s">
        <v>834</v>
      </c>
      <c r="J536" s="64"/>
      <c r="K536" s="36">
        <f>K12+K15+K19+K25+K34+K37+K40+K43+K54+K58+K64+K69+K182+K186+K222+K236+K239+K252+K262+K269+K297+K300+K354+K362+K375+K380+K402+K420+K477+K509+K512+K515</f>
        <v>0</v>
      </c>
      <c r="L536" s="8"/>
    </row>
    <row r="537" spans="1:62" ht="11.25" customHeight="1" x14ac:dyDescent="0.2">
      <c r="A537" s="9" t="s">
        <v>159</v>
      </c>
    </row>
    <row r="538" spans="1:62" x14ac:dyDescent="0.2">
      <c r="A538" s="55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</row>
  </sheetData>
  <mergeCells count="554">
    <mergeCell ref="A4:B5"/>
    <mergeCell ref="C4:C5"/>
    <mergeCell ref="D4:E5"/>
    <mergeCell ref="F4:G5"/>
    <mergeCell ref="H4:H5"/>
    <mergeCell ref="I4:L5"/>
    <mergeCell ref="A1:L1"/>
    <mergeCell ref="A2:B3"/>
    <mergeCell ref="C2:C3"/>
    <mergeCell ref="D2:E3"/>
    <mergeCell ref="F2:G3"/>
    <mergeCell ref="H2:H3"/>
    <mergeCell ref="I2:L3"/>
    <mergeCell ref="A8:B9"/>
    <mergeCell ref="C8:C9"/>
    <mergeCell ref="D8:E9"/>
    <mergeCell ref="F8:G9"/>
    <mergeCell ref="H8:H9"/>
    <mergeCell ref="I8:L9"/>
    <mergeCell ref="A6:B7"/>
    <mergeCell ref="C6:C7"/>
    <mergeCell ref="D6:E7"/>
    <mergeCell ref="F6:G7"/>
    <mergeCell ref="H6:H7"/>
    <mergeCell ref="I6:L7"/>
    <mergeCell ref="C24:E24"/>
    <mergeCell ref="C25:E25"/>
    <mergeCell ref="C26:E26"/>
    <mergeCell ref="C27:E27"/>
    <mergeCell ref="C28:E28"/>
    <mergeCell ref="C29:E29"/>
    <mergeCell ref="C18:E18"/>
    <mergeCell ref="C19:E19"/>
    <mergeCell ref="C20:E20"/>
    <mergeCell ref="C21:E21"/>
    <mergeCell ref="C22:E22"/>
    <mergeCell ref="C23:E23"/>
    <mergeCell ref="C13:E13"/>
    <mergeCell ref="C14:E14"/>
    <mergeCell ref="C15:E15"/>
    <mergeCell ref="C16:E16"/>
    <mergeCell ref="C17:E17"/>
    <mergeCell ref="C10:E10"/>
    <mergeCell ref="I10:K10"/>
    <mergeCell ref="C11:E11"/>
    <mergeCell ref="C12:E12"/>
    <mergeCell ref="C36:E36"/>
    <mergeCell ref="C37:E37"/>
    <mergeCell ref="C39:E39"/>
    <mergeCell ref="C40:E40"/>
    <mergeCell ref="C41:E41"/>
    <mergeCell ref="C30:E30"/>
    <mergeCell ref="C31:E31"/>
    <mergeCell ref="C32:E32"/>
    <mergeCell ref="C33:E33"/>
    <mergeCell ref="C34:E34"/>
    <mergeCell ref="C35:E35"/>
    <mergeCell ref="C38:E38"/>
    <mergeCell ref="C51:E51"/>
    <mergeCell ref="C52:E52"/>
    <mergeCell ref="C53:E53"/>
    <mergeCell ref="C54:E54"/>
    <mergeCell ref="C55:E55"/>
    <mergeCell ref="C56:E56"/>
    <mergeCell ref="C42:E42"/>
    <mergeCell ref="C43:E43"/>
    <mergeCell ref="C44:E44"/>
    <mergeCell ref="C45:E45"/>
    <mergeCell ref="C46:E46"/>
    <mergeCell ref="C47:E47"/>
    <mergeCell ref="C50:E50"/>
    <mergeCell ref="C48:E48"/>
    <mergeCell ref="C49:E49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75:E75"/>
    <mergeCell ref="C76:E76"/>
    <mergeCell ref="C77:E77"/>
    <mergeCell ref="C78:E78"/>
    <mergeCell ref="C79:E79"/>
    <mergeCell ref="C80:E80"/>
    <mergeCell ref="C69:E69"/>
    <mergeCell ref="C70:E70"/>
    <mergeCell ref="C71:E71"/>
    <mergeCell ref="C72:E72"/>
    <mergeCell ref="C73:E73"/>
    <mergeCell ref="C74:E74"/>
    <mergeCell ref="C87:E87"/>
    <mergeCell ref="C88:E88"/>
    <mergeCell ref="C89:E89"/>
    <mergeCell ref="C90:E90"/>
    <mergeCell ref="C91:E91"/>
    <mergeCell ref="C92:E92"/>
    <mergeCell ref="C81:E81"/>
    <mergeCell ref="C82:E82"/>
    <mergeCell ref="C83:E83"/>
    <mergeCell ref="C84:E84"/>
    <mergeCell ref="C85:E85"/>
    <mergeCell ref="C86:E86"/>
    <mergeCell ref="C99:E99"/>
    <mergeCell ref="C100:E100"/>
    <mergeCell ref="C101:E101"/>
    <mergeCell ref="C102:E102"/>
    <mergeCell ref="C103:E103"/>
    <mergeCell ref="C104:E104"/>
    <mergeCell ref="C93:E93"/>
    <mergeCell ref="C94:E94"/>
    <mergeCell ref="C95:E95"/>
    <mergeCell ref="C96:E96"/>
    <mergeCell ref="C97:E97"/>
    <mergeCell ref="C98:E98"/>
    <mergeCell ref="C111:E111"/>
    <mergeCell ref="C112:E112"/>
    <mergeCell ref="C113:E113"/>
    <mergeCell ref="C114:E114"/>
    <mergeCell ref="C115:E115"/>
    <mergeCell ref="C116:E116"/>
    <mergeCell ref="C105:E105"/>
    <mergeCell ref="C106:E106"/>
    <mergeCell ref="C107:E107"/>
    <mergeCell ref="C108:E108"/>
    <mergeCell ref="C109:E109"/>
    <mergeCell ref="C110:E110"/>
    <mergeCell ref="C123:E123"/>
    <mergeCell ref="C124:E124"/>
    <mergeCell ref="C125:E125"/>
    <mergeCell ref="C126:E126"/>
    <mergeCell ref="C127:E127"/>
    <mergeCell ref="C128:E128"/>
    <mergeCell ref="C117:E117"/>
    <mergeCell ref="C118:E118"/>
    <mergeCell ref="C119:E119"/>
    <mergeCell ref="C120:E120"/>
    <mergeCell ref="C121:E121"/>
    <mergeCell ref="C122:E122"/>
    <mergeCell ref="C135:E135"/>
    <mergeCell ref="C136:E136"/>
    <mergeCell ref="C137:E137"/>
    <mergeCell ref="C138:E138"/>
    <mergeCell ref="C139:E139"/>
    <mergeCell ref="C140:E140"/>
    <mergeCell ref="C129:E129"/>
    <mergeCell ref="C130:E130"/>
    <mergeCell ref="C131:E131"/>
    <mergeCell ref="C132:E132"/>
    <mergeCell ref="C133:E133"/>
    <mergeCell ref="C134:E134"/>
    <mergeCell ref="C147:E147"/>
    <mergeCell ref="C148:E148"/>
    <mergeCell ref="C149:E149"/>
    <mergeCell ref="C150:E150"/>
    <mergeCell ref="C151:E151"/>
    <mergeCell ref="C152:E152"/>
    <mergeCell ref="C141:E141"/>
    <mergeCell ref="C142:E142"/>
    <mergeCell ref="C143:E143"/>
    <mergeCell ref="C144:E144"/>
    <mergeCell ref="C145:E145"/>
    <mergeCell ref="C146:E146"/>
    <mergeCell ref="C159:E159"/>
    <mergeCell ref="C160:E160"/>
    <mergeCell ref="C161:E161"/>
    <mergeCell ref="C162:E162"/>
    <mergeCell ref="C163:E163"/>
    <mergeCell ref="C164:E164"/>
    <mergeCell ref="C153:E153"/>
    <mergeCell ref="C154:E154"/>
    <mergeCell ref="C155:E155"/>
    <mergeCell ref="C156:E156"/>
    <mergeCell ref="C157:E157"/>
    <mergeCell ref="C158:E158"/>
    <mergeCell ref="C171:E171"/>
    <mergeCell ref="C172:E172"/>
    <mergeCell ref="C173:E173"/>
    <mergeCell ref="C174:E174"/>
    <mergeCell ref="C175:E175"/>
    <mergeCell ref="C176:E176"/>
    <mergeCell ref="C165:E165"/>
    <mergeCell ref="C166:E166"/>
    <mergeCell ref="C167:E167"/>
    <mergeCell ref="C168:E168"/>
    <mergeCell ref="C169:E169"/>
    <mergeCell ref="C170:E170"/>
    <mergeCell ref="C183:E183"/>
    <mergeCell ref="C184:E184"/>
    <mergeCell ref="C185:E185"/>
    <mergeCell ref="C186:E186"/>
    <mergeCell ref="C187:E187"/>
    <mergeCell ref="C188:E188"/>
    <mergeCell ref="C177:E177"/>
    <mergeCell ref="C178:E178"/>
    <mergeCell ref="C179:E179"/>
    <mergeCell ref="C180:E180"/>
    <mergeCell ref="C181:E181"/>
    <mergeCell ref="C182:E182"/>
    <mergeCell ref="C195:E195"/>
    <mergeCell ref="C196:E196"/>
    <mergeCell ref="C197:E197"/>
    <mergeCell ref="C198:E198"/>
    <mergeCell ref="C199:E199"/>
    <mergeCell ref="C200:E200"/>
    <mergeCell ref="C189:E189"/>
    <mergeCell ref="C190:E190"/>
    <mergeCell ref="C191:E191"/>
    <mergeCell ref="C192:E192"/>
    <mergeCell ref="C193:E193"/>
    <mergeCell ref="C194:E194"/>
    <mergeCell ref="C207:E207"/>
    <mergeCell ref="C208:E208"/>
    <mergeCell ref="C209:E209"/>
    <mergeCell ref="C210:E210"/>
    <mergeCell ref="C211:E211"/>
    <mergeCell ref="C212:E212"/>
    <mergeCell ref="C201:E201"/>
    <mergeCell ref="C202:E202"/>
    <mergeCell ref="C203:E203"/>
    <mergeCell ref="C204:E204"/>
    <mergeCell ref="C205:E205"/>
    <mergeCell ref="C206:E206"/>
    <mergeCell ref="C219:E219"/>
    <mergeCell ref="C220:E220"/>
    <mergeCell ref="C221:E221"/>
    <mergeCell ref="C222:E222"/>
    <mergeCell ref="C223:E223"/>
    <mergeCell ref="C224:E224"/>
    <mergeCell ref="C213:E213"/>
    <mergeCell ref="C214:E214"/>
    <mergeCell ref="C215:E215"/>
    <mergeCell ref="C216:E216"/>
    <mergeCell ref="C217:E217"/>
    <mergeCell ref="C218:E218"/>
    <mergeCell ref="C231:E231"/>
    <mergeCell ref="C232:E232"/>
    <mergeCell ref="C233:E233"/>
    <mergeCell ref="C234:E234"/>
    <mergeCell ref="C235:E235"/>
    <mergeCell ref="C236:E236"/>
    <mergeCell ref="C225:E225"/>
    <mergeCell ref="C226:E226"/>
    <mergeCell ref="C227:E227"/>
    <mergeCell ref="C228:E228"/>
    <mergeCell ref="C229:E229"/>
    <mergeCell ref="C230:E230"/>
    <mergeCell ref="C243:E243"/>
    <mergeCell ref="C244:E244"/>
    <mergeCell ref="C245:E245"/>
    <mergeCell ref="C246:E246"/>
    <mergeCell ref="C247:E247"/>
    <mergeCell ref="C248:E248"/>
    <mergeCell ref="C237:E237"/>
    <mergeCell ref="C238:E238"/>
    <mergeCell ref="C239:E239"/>
    <mergeCell ref="C240:E240"/>
    <mergeCell ref="C241:E241"/>
    <mergeCell ref="C242:E242"/>
    <mergeCell ref="C255:E255"/>
    <mergeCell ref="C256:E256"/>
    <mergeCell ref="C257:E257"/>
    <mergeCell ref="C258:E258"/>
    <mergeCell ref="C259:E259"/>
    <mergeCell ref="C260:E260"/>
    <mergeCell ref="C249:E249"/>
    <mergeCell ref="C250:E250"/>
    <mergeCell ref="C251:E251"/>
    <mergeCell ref="C252:E252"/>
    <mergeCell ref="C253:E253"/>
    <mergeCell ref="C254:E254"/>
    <mergeCell ref="C267:E267"/>
    <mergeCell ref="C268:E268"/>
    <mergeCell ref="C269:E269"/>
    <mergeCell ref="C270:E270"/>
    <mergeCell ref="C271:E271"/>
    <mergeCell ref="C272:E272"/>
    <mergeCell ref="C261:E261"/>
    <mergeCell ref="C262:E262"/>
    <mergeCell ref="C263:E263"/>
    <mergeCell ref="C264:E264"/>
    <mergeCell ref="C265:E265"/>
    <mergeCell ref="C266:E266"/>
    <mergeCell ref="C279:E279"/>
    <mergeCell ref="C280:E280"/>
    <mergeCell ref="C281:E281"/>
    <mergeCell ref="C282:E282"/>
    <mergeCell ref="C283:E283"/>
    <mergeCell ref="C284:E284"/>
    <mergeCell ref="C273:E273"/>
    <mergeCell ref="C274:E274"/>
    <mergeCell ref="C275:E275"/>
    <mergeCell ref="C276:E276"/>
    <mergeCell ref="C277:E277"/>
    <mergeCell ref="C278:E278"/>
    <mergeCell ref="C291:E291"/>
    <mergeCell ref="C292:E292"/>
    <mergeCell ref="C293:E293"/>
    <mergeCell ref="C294:E294"/>
    <mergeCell ref="C295:E295"/>
    <mergeCell ref="C296:E296"/>
    <mergeCell ref="C285:E285"/>
    <mergeCell ref="C286:E286"/>
    <mergeCell ref="C287:E287"/>
    <mergeCell ref="C288:E288"/>
    <mergeCell ref="C289:E289"/>
    <mergeCell ref="C290:E290"/>
    <mergeCell ref="C303:E303"/>
    <mergeCell ref="C304:E304"/>
    <mergeCell ref="C305:E305"/>
    <mergeCell ref="C306:E306"/>
    <mergeCell ref="C307:E307"/>
    <mergeCell ref="C308:E308"/>
    <mergeCell ref="C297:E297"/>
    <mergeCell ref="C298:E298"/>
    <mergeCell ref="C299:E299"/>
    <mergeCell ref="C300:E300"/>
    <mergeCell ref="C301:E301"/>
    <mergeCell ref="C302:E302"/>
    <mergeCell ref="C315:E315"/>
    <mergeCell ref="C316:E316"/>
    <mergeCell ref="C317:E317"/>
    <mergeCell ref="C318:E318"/>
    <mergeCell ref="C319:E319"/>
    <mergeCell ref="C320:E320"/>
    <mergeCell ref="C309:E309"/>
    <mergeCell ref="C310:E310"/>
    <mergeCell ref="C311:E311"/>
    <mergeCell ref="C312:E312"/>
    <mergeCell ref="C313:E313"/>
    <mergeCell ref="C314:E314"/>
    <mergeCell ref="C327:E327"/>
    <mergeCell ref="C328:E328"/>
    <mergeCell ref="C329:E329"/>
    <mergeCell ref="C330:E330"/>
    <mergeCell ref="C331:E331"/>
    <mergeCell ref="C332:E332"/>
    <mergeCell ref="C321:E321"/>
    <mergeCell ref="C322:E322"/>
    <mergeCell ref="C323:E323"/>
    <mergeCell ref="C324:E324"/>
    <mergeCell ref="C325:E325"/>
    <mergeCell ref="C326:E326"/>
    <mergeCell ref="C339:E339"/>
    <mergeCell ref="C340:E340"/>
    <mergeCell ref="C341:E341"/>
    <mergeCell ref="C342:E342"/>
    <mergeCell ref="C343:E343"/>
    <mergeCell ref="C344:E344"/>
    <mergeCell ref="C333:E333"/>
    <mergeCell ref="C334:E334"/>
    <mergeCell ref="C335:E335"/>
    <mergeCell ref="C336:E336"/>
    <mergeCell ref="C337:E337"/>
    <mergeCell ref="C338:E338"/>
    <mergeCell ref="C351:E351"/>
    <mergeCell ref="C352:E352"/>
    <mergeCell ref="C353:E353"/>
    <mergeCell ref="C354:E354"/>
    <mergeCell ref="C355:E355"/>
    <mergeCell ref="C356:E356"/>
    <mergeCell ref="C345:E345"/>
    <mergeCell ref="C346:E346"/>
    <mergeCell ref="C347:E347"/>
    <mergeCell ref="C348:E348"/>
    <mergeCell ref="C349:E349"/>
    <mergeCell ref="C350:E350"/>
    <mergeCell ref="C363:E363"/>
    <mergeCell ref="C364:E364"/>
    <mergeCell ref="C365:E365"/>
    <mergeCell ref="C366:E366"/>
    <mergeCell ref="C367:E367"/>
    <mergeCell ref="C368:E368"/>
    <mergeCell ref="C357:E357"/>
    <mergeCell ref="C358:E358"/>
    <mergeCell ref="C359:E359"/>
    <mergeCell ref="C360:E360"/>
    <mergeCell ref="C361:E361"/>
    <mergeCell ref="C362:E362"/>
    <mergeCell ref="C375:E375"/>
    <mergeCell ref="C376:E376"/>
    <mergeCell ref="C377:E377"/>
    <mergeCell ref="C378:E378"/>
    <mergeCell ref="C379:E379"/>
    <mergeCell ref="C380:E380"/>
    <mergeCell ref="C369:E369"/>
    <mergeCell ref="C370:E370"/>
    <mergeCell ref="C371:E371"/>
    <mergeCell ref="C372:E372"/>
    <mergeCell ref="C373:E373"/>
    <mergeCell ref="C374:E374"/>
    <mergeCell ref="C387:E387"/>
    <mergeCell ref="C388:E388"/>
    <mergeCell ref="C389:E389"/>
    <mergeCell ref="C390:E390"/>
    <mergeCell ref="C391:E391"/>
    <mergeCell ref="C392:E392"/>
    <mergeCell ref="C381:E381"/>
    <mergeCell ref="C382:E382"/>
    <mergeCell ref="C383:E383"/>
    <mergeCell ref="C384:E384"/>
    <mergeCell ref="C385:E385"/>
    <mergeCell ref="C386:E386"/>
    <mergeCell ref="C399:E399"/>
    <mergeCell ref="C400:E400"/>
    <mergeCell ref="C401:E401"/>
    <mergeCell ref="C402:E402"/>
    <mergeCell ref="C403:E403"/>
    <mergeCell ref="C404:E404"/>
    <mergeCell ref="C393:E393"/>
    <mergeCell ref="C394:E394"/>
    <mergeCell ref="C395:E395"/>
    <mergeCell ref="C396:E396"/>
    <mergeCell ref="C397:E397"/>
    <mergeCell ref="C398:E398"/>
    <mergeCell ref="C411:E411"/>
    <mergeCell ref="C412:E412"/>
    <mergeCell ref="C413:E413"/>
    <mergeCell ref="C414:E414"/>
    <mergeCell ref="C415:E415"/>
    <mergeCell ref="C416:E416"/>
    <mergeCell ref="C405:E405"/>
    <mergeCell ref="C406:E406"/>
    <mergeCell ref="C407:E407"/>
    <mergeCell ref="C408:E408"/>
    <mergeCell ref="C409:E409"/>
    <mergeCell ref="C410:E410"/>
    <mergeCell ref="C423:E423"/>
    <mergeCell ref="C424:E424"/>
    <mergeCell ref="C425:E425"/>
    <mergeCell ref="C426:E426"/>
    <mergeCell ref="C427:E427"/>
    <mergeCell ref="C428:E428"/>
    <mergeCell ref="C417:E417"/>
    <mergeCell ref="C418:E418"/>
    <mergeCell ref="C419:E419"/>
    <mergeCell ref="C420:E420"/>
    <mergeCell ref="C421:E421"/>
    <mergeCell ref="C422:E422"/>
    <mergeCell ref="C435:E435"/>
    <mergeCell ref="C436:E436"/>
    <mergeCell ref="C437:E437"/>
    <mergeCell ref="C438:E438"/>
    <mergeCell ref="C439:E439"/>
    <mergeCell ref="C440:E440"/>
    <mergeCell ref="C429:E429"/>
    <mergeCell ref="C430:E430"/>
    <mergeCell ref="C431:E431"/>
    <mergeCell ref="C432:E432"/>
    <mergeCell ref="C433:E433"/>
    <mergeCell ref="C434:E434"/>
    <mergeCell ref="C447:E447"/>
    <mergeCell ref="C448:E448"/>
    <mergeCell ref="C449:E449"/>
    <mergeCell ref="C450:E450"/>
    <mergeCell ref="C451:E451"/>
    <mergeCell ref="C452:E452"/>
    <mergeCell ref="C441:E441"/>
    <mergeCell ref="C442:E442"/>
    <mergeCell ref="C443:E443"/>
    <mergeCell ref="C444:E444"/>
    <mergeCell ref="C445:E445"/>
    <mergeCell ref="C446:E446"/>
    <mergeCell ref="C459:E459"/>
    <mergeCell ref="C460:E460"/>
    <mergeCell ref="C461:E461"/>
    <mergeCell ref="C462:E462"/>
    <mergeCell ref="C463:E463"/>
    <mergeCell ref="C464:E464"/>
    <mergeCell ref="C453:E453"/>
    <mergeCell ref="C454:E454"/>
    <mergeCell ref="C455:E455"/>
    <mergeCell ref="C456:E456"/>
    <mergeCell ref="C457:E457"/>
    <mergeCell ref="C458:E458"/>
    <mergeCell ref="C471:E471"/>
    <mergeCell ref="C472:E472"/>
    <mergeCell ref="C473:E473"/>
    <mergeCell ref="C474:E474"/>
    <mergeCell ref="C475:E475"/>
    <mergeCell ref="C476:E476"/>
    <mergeCell ref="C465:E465"/>
    <mergeCell ref="C466:E466"/>
    <mergeCell ref="C467:E467"/>
    <mergeCell ref="C468:E468"/>
    <mergeCell ref="C469:E469"/>
    <mergeCell ref="C470:E470"/>
    <mergeCell ref="C483:E483"/>
    <mergeCell ref="C484:E484"/>
    <mergeCell ref="C485:E485"/>
    <mergeCell ref="C486:E486"/>
    <mergeCell ref="C487:E487"/>
    <mergeCell ref="C488:E488"/>
    <mergeCell ref="C477:E477"/>
    <mergeCell ref="C478:E478"/>
    <mergeCell ref="C479:E479"/>
    <mergeCell ref="C480:E480"/>
    <mergeCell ref="C481:E481"/>
    <mergeCell ref="C482:E482"/>
    <mergeCell ref="C495:E495"/>
    <mergeCell ref="C496:E496"/>
    <mergeCell ref="C497:E497"/>
    <mergeCell ref="C498:E498"/>
    <mergeCell ref="C499:E499"/>
    <mergeCell ref="C500:E500"/>
    <mergeCell ref="C489:E489"/>
    <mergeCell ref="C490:E490"/>
    <mergeCell ref="C491:E491"/>
    <mergeCell ref="C492:E492"/>
    <mergeCell ref="C493:E493"/>
    <mergeCell ref="C494:E494"/>
    <mergeCell ref="C507:E507"/>
    <mergeCell ref="C508:E508"/>
    <mergeCell ref="C509:E509"/>
    <mergeCell ref="C510:E510"/>
    <mergeCell ref="C511:E511"/>
    <mergeCell ref="C512:E512"/>
    <mergeCell ref="C501:E501"/>
    <mergeCell ref="C502:E502"/>
    <mergeCell ref="C503:E503"/>
    <mergeCell ref="C504:E504"/>
    <mergeCell ref="C505:E505"/>
    <mergeCell ref="C506:E506"/>
    <mergeCell ref="C519:E519"/>
    <mergeCell ref="C520:E520"/>
    <mergeCell ref="C521:E521"/>
    <mergeCell ref="C522:E522"/>
    <mergeCell ref="C523:E523"/>
    <mergeCell ref="C524:E524"/>
    <mergeCell ref="C513:E513"/>
    <mergeCell ref="C514:E514"/>
    <mergeCell ref="C515:E515"/>
    <mergeCell ref="C516:E516"/>
    <mergeCell ref="C517:E517"/>
    <mergeCell ref="C518:E518"/>
    <mergeCell ref="A538:L538"/>
    <mergeCell ref="C531:E531"/>
    <mergeCell ref="C532:E532"/>
    <mergeCell ref="C533:E533"/>
    <mergeCell ref="C534:E534"/>
    <mergeCell ref="C535:E535"/>
    <mergeCell ref="I536:J536"/>
    <mergeCell ref="C525:E525"/>
    <mergeCell ref="C526:E526"/>
    <mergeCell ref="C527:E527"/>
    <mergeCell ref="C528:E528"/>
    <mergeCell ref="C529:E529"/>
    <mergeCell ref="C530:E530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7" workbookViewId="0"/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53"/>
      <c r="B1" s="7"/>
      <c r="C1" s="120" t="s">
        <v>910</v>
      </c>
      <c r="D1" s="88"/>
      <c r="E1" s="88"/>
      <c r="F1" s="88"/>
      <c r="G1" s="88"/>
      <c r="H1" s="88"/>
      <c r="I1" s="88"/>
    </row>
    <row r="2" spans="1:10" x14ac:dyDescent="0.2">
      <c r="A2" s="89" t="s">
        <v>1</v>
      </c>
      <c r="B2" s="90"/>
      <c r="C2" s="91" t="str">
        <f>'Stavební rozpočet'!C2</f>
        <v>SNÍŽENÍ ENERGETICKÉ NÁROČNOSTI BUDOVY 3. ZÁKLADNÍ ŠKOLY, CHEB</v>
      </c>
      <c r="D2" s="64"/>
      <c r="E2" s="94" t="s">
        <v>823</v>
      </c>
      <c r="F2" s="94" t="str">
        <f>'Stavební rozpočet'!I2</f>
        <v>Město Cheb</v>
      </c>
      <c r="G2" s="90"/>
      <c r="H2" s="94" t="s">
        <v>935</v>
      </c>
      <c r="I2" s="121"/>
      <c r="J2" s="30"/>
    </row>
    <row r="3" spans="1:10" ht="25.7" customHeight="1" x14ac:dyDescent="0.2">
      <c r="A3" s="86"/>
      <c r="B3" s="56"/>
      <c r="C3" s="92"/>
      <c r="D3" s="92"/>
      <c r="E3" s="56"/>
      <c r="F3" s="56"/>
      <c r="G3" s="56"/>
      <c r="H3" s="56"/>
      <c r="I3" s="84"/>
      <c r="J3" s="30"/>
    </row>
    <row r="4" spans="1:10" x14ac:dyDescent="0.2">
      <c r="A4" s="80" t="s">
        <v>2</v>
      </c>
      <c r="B4" s="56"/>
      <c r="C4" s="55" t="str">
        <f>'Stavební rozpočet'!C4</f>
        <v>Objekt 2 - vstup a vedení školy</v>
      </c>
      <c r="D4" s="56"/>
      <c r="E4" s="55" t="s">
        <v>824</v>
      </c>
      <c r="F4" s="55" t="str">
        <f>'Stavební rozpočet'!I4</f>
        <v>Kamila Možná</v>
      </c>
      <c r="G4" s="56"/>
      <c r="H4" s="55" t="s">
        <v>935</v>
      </c>
      <c r="I4" s="117"/>
      <c r="J4" s="30"/>
    </row>
    <row r="5" spans="1:10" x14ac:dyDescent="0.2">
      <c r="A5" s="86"/>
      <c r="B5" s="56"/>
      <c r="C5" s="56"/>
      <c r="D5" s="56"/>
      <c r="E5" s="56"/>
      <c r="F5" s="56"/>
      <c r="G5" s="56"/>
      <c r="H5" s="56"/>
      <c r="I5" s="84"/>
      <c r="J5" s="30"/>
    </row>
    <row r="6" spans="1:10" x14ac:dyDescent="0.2">
      <c r="A6" s="80" t="s">
        <v>3</v>
      </c>
      <c r="B6" s="56"/>
      <c r="C6" s="55" t="str">
        <f>'Stavební rozpočet'!C6</f>
        <v>Malé Náměstí 2287/3, 350 02 Cheb</v>
      </c>
      <c r="D6" s="56"/>
      <c r="E6" s="55" t="s">
        <v>825</v>
      </c>
      <c r="F6" s="55" t="str">
        <f>'Stavební rozpočet'!I6</f>
        <v>Dle výběrového řízení</v>
      </c>
      <c r="G6" s="56"/>
      <c r="H6" s="55" t="s">
        <v>935</v>
      </c>
      <c r="I6" s="117"/>
      <c r="J6" s="30"/>
    </row>
    <row r="7" spans="1:10" x14ac:dyDescent="0.2">
      <c r="A7" s="86"/>
      <c r="B7" s="56"/>
      <c r="C7" s="56"/>
      <c r="D7" s="56"/>
      <c r="E7" s="56"/>
      <c r="F7" s="56"/>
      <c r="G7" s="56"/>
      <c r="H7" s="56"/>
      <c r="I7" s="84"/>
      <c r="J7" s="30"/>
    </row>
    <row r="8" spans="1:10" x14ac:dyDescent="0.2">
      <c r="A8" s="80" t="s">
        <v>811</v>
      </c>
      <c r="B8" s="56"/>
      <c r="C8" s="55" t="str">
        <f>'Stavební rozpočet'!F4</f>
        <v xml:space="preserve"> </v>
      </c>
      <c r="D8" s="56"/>
      <c r="E8" s="55" t="s">
        <v>812</v>
      </c>
      <c r="F8" s="55" t="str">
        <f>'Stavební rozpočet'!F6</f>
        <v xml:space="preserve"> </v>
      </c>
      <c r="G8" s="56"/>
      <c r="H8" s="83" t="s">
        <v>936</v>
      </c>
      <c r="I8" s="117" t="s">
        <v>158</v>
      </c>
      <c r="J8" s="30"/>
    </row>
    <row r="9" spans="1:10" x14ac:dyDescent="0.2">
      <c r="A9" s="86"/>
      <c r="B9" s="56"/>
      <c r="C9" s="56"/>
      <c r="D9" s="56"/>
      <c r="E9" s="56"/>
      <c r="F9" s="56"/>
      <c r="G9" s="56"/>
      <c r="H9" s="56"/>
      <c r="I9" s="84"/>
      <c r="J9" s="30"/>
    </row>
    <row r="10" spans="1:10" x14ac:dyDescent="0.2">
      <c r="A10" s="80" t="s">
        <v>4</v>
      </c>
      <c r="B10" s="56"/>
      <c r="C10" s="55" t="str">
        <f>'Stavební rozpočet'!C8</f>
        <v xml:space="preserve"> </v>
      </c>
      <c r="D10" s="56"/>
      <c r="E10" s="55" t="s">
        <v>826</v>
      </c>
      <c r="F10" s="55" t="str">
        <f>'Stavební rozpočet'!I8</f>
        <v>Kamila Možná</v>
      </c>
      <c r="G10" s="56"/>
      <c r="H10" s="83" t="s">
        <v>937</v>
      </c>
      <c r="I10" s="115" t="str">
        <f>'Stavební rozpočet'!F8</f>
        <v>15.10.2019</v>
      </c>
      <c r="J10" s="30"/>
    </row>
    <row r="11" spans="1:10" x14ac:dyDescent="0.2">
      <c r="A11" s="118"/>
      <c r="B11" s="119"/>
      <c r="C11" s="119"/>
      <c r="D11" s="119"/>
      <c r="E11" s="119"/>
      <c r="F11" s="119"/>
      <c r="G11" s="119"/>
      <c r="H11" s="119"/>
      <c r="I11" s="116"/>
      <c r="J11" s="30"/>
    </row>
    <row r="12" spans="1:10" ht="23.45" customHeight="1" x14ac:dyDescent="0.2">
      <c r="A12" s="111" t="s">
        <v>895</v>
      </c>
      <c r="B12" s="112"/>
      <c r="C12" s="112"/>
      <c r="D12" s="112"/>
      <c r="E12" s="112"/>
      <c r="F12" s="112"/>
      <c r="G12" s="112"/>
      <c r="H12" s="112"/>
      <c r="I12" s="112"/>
    </row>
    <row r="13" spans="1:10" ht="26.45" customHeight="1" x14ac:dyDescent="0.2">
      <c r="A13" s="37" t="s">
        <v>896</v>
      </c>
      <c r="B13" s="113" t="s">
        <v>908</v>
      </c>
      <c r="C13" s="114"/>
      <c r="D13" s="37" t="s">
        <v>911</v>
      </c>
      <c r="E13" s="113" t="s">
        <v>920</v>
      </c>
      <c r="F13" s="114"/>
      <c r="G13" s="37" t="s">
        <v>921</v>
      </c>
      <c r="H13" s="113" t="s">
        <v>938</v>
      </c>
      <c r="I13" s="114"/>
      <c r="J13" s="30"/>
    </row>
    <row r="14" spans="1:10" ht="15.2" customHeight="1" x14ac:dyDescent="0.2">
      <c r="A14" s="38" t="s">
        <v>897</v>
      </c>
      <c r="B14" s="42" t="s">
        <v>909</v>
      </c>
      <c r="C14" s="46">
        <f>SUM('Stavební rozpočet'!AB12:AB535)</f>
        <v>0</v>
      </c>
      <c r="D14" s="109" t="s">
        <v>912</v>
      </c>
      <c r="E14" s="110"/>
      <c r="F14" s="46">
        <v>0</v>
      </c>
      <c r="G14" s="109" t="s">
        <v>922</v>
      </c>
      <c r="H14" s="110"/>
      <c r="I14" s="46">
        <v>0</v>
      </c>
      <c r="J14" s="30"/>
    </row>
    <row r="15" spans="1:10" ht="15.2" customHeight="1" x14ac:dyDescent="0.2">
      <c r="A15" s="39"/>
      <c r="B15" s="42" t="s">
        <v>835</v>
      </c>
      <c r="C15" s="46">
        <f>SUM('Stavební rozpočet'!AC12:AC535)</f>
        <v>0</v>
      </c>
      <c r="D15" s="109" t="s">
        <v>913</v>
      </c>
      <c r="E15" s="110"/>
      <c r="F15" s="46">
        <v>0</v>
      </c>
      <c r="G15" s="109" t="s">
        <v>923</v>
      </c>
      <c r="H15" s="110"/>
      <c r="I15" s="46">
        <v>0</v>
      </c>
      <c r="J15" s="30"/>
    </row>
    <row r="16" spans="1:10" ht="15.2" customHeight="1" x14ac:dyDescent="0.2">
      <c r="A16" s="38" t="s">
        <v>898</v>
      </c>
      <c r="B16" s="42" t="s">
        <v>909</v>
      </c>
      <c r="C16" s="46">
        <f>SUM('Stavební rozpočet'!AD12:AD535)</f>
        <v>0</v>
      </c>
      <c r="D16" s="109" t="s">
        <v>914</v>
      </c>
      <c r="E16" s="110"/>
      <c r="F16" s="46">
        <v>0</v>
      </c>
      <c r="G16" s="109" t="s">
        <v>924</v>
      </c>
      <c r="H16" s="110"/>
      <c r="I16" s="46">
        <v>0</v>
      </c>
      <c r="J16" s="30"/>
    </row>
    <row r="17" spans="1:10" ht="15.2" customHeight="1" x14ac:dyDescent="0.2">
      <c r="A17" s="39"/>
      <c r="B17" s="42" t="s">
        <v>835</v>
      </c>
      <c r="C17" s="46">
        <f>SUM('Stavební rozpočet'!AE12:AE535)</f>
        <v>0</v>
      </c>
      <c r="D17" s="109"/>
      <c r="E17" s="110"/>
      <c r="F17" s="47"/>
      <c r="G17" s="109" t="s">
        <v>925</v>
      </c>
      <c r="H17" s="110"/>
      <c r="I17" s="46">
        <v>0</v>
      </c>
      <c r="J17" s="30"/>
    </row>
    <row r="18" spans="1:10" ht="15.2" customHeight="1" x14ac:dyDescent="0.2">
      <c r="A18" s="38" t="s">
        <v>899</v>
      </c>
      <c r="B18" s="42" t="s">
        <v>909</v>
      </c>
      <c r="C18" s="46">
        <f>SUM('Stavební rozpočet'!AF12:AF535)</f>
        <v>0</v>
      </c>
      <c r="D18" s="109"/>
      <c r="E18" s="110"/>
      <c r="F18" s="47"/>
      <c r="G18" s="109" t="s">
        <v>926</v>
      </c>
      <c r="H18" s="110"/>
      <c r="I18" s="46">
        <v>0</v>
      </c>
      <c r="J18" s="30"/>
    </row>
    <row r="19" spans="1:10" ht="15.2" customHeight="1" x14ac:dyDescent="0.2">
      <c r="A19" s="39"/>
      <c r="B19" s="42" t="s">
        <v>835</v>
      </c>
      <c r="C19" s="46">
        <f>SUM('Stavební rozpočet'!AG12:AG535)</f>
        <v>0</v>
      </c>
      <c r="D19" s="109"/>
      <c r="E19" s="110"/>
      <c r="F19" s="47"/>
      <c r="G19" s="109" t="s">
        <v>927</v>
      </c>
      <c r="H19" s="110"/>
      <c r="I19" s="46">
        <v>0</v>
      </c>
      <c r="J19" s="30"/>
    </row>
    <row r="20" spans="1:10" ht="15.2" customHeight="1" x14ac:dyDescent="0.2">
      <c r="A20" s="107" t="s">
        <v>900</v>
      </c>
      <c r="B20" s="108"/>
      <c r="C20" s="46">
        <f>SUM('Stavební rozpočet'!AH12:AH535)</f>
        <v>0</v>
      </c>
      <c r="D20" s="109"/>
      <c r="E20" s="110"/>
      <c r="F20" s="47"/>
      <c r="G20" s="109"/>
      <c r="H20" s="110"/>
      <c r="I20" s="47"/>
      <c r="J20" s="30"/>
    </row>
    <row r="21" spans="1:10" ht="15.2" customHeight="1" x14ac:dyDescent="0.2">
      <c r="A21" s="107" t="s">
        <v>901</v>
      </c>
      <c r="B21" s="108"/>
      <c r="C21" s="46">
        <f>SUM('Stavební rozpočet'!Z12:Z535)</f>
        <v>0</v>
      </c>
      <c r="D21" s="109"/>
      <c r="E21" s="110"/>
      <c r="F21" s="47"/>
      <c r="G21" s="109"/>
      <c r="H21" s="110"/>
      <c r="I21" s="47"/>
      <c r="J21" s="30"/>
    </row>
    <row r="22" spans="1:10" ht="16.7" customHeight="1" x14ac:dyDescent="0.2">
      <c r="A22" s="107" t="s">
        <v>902</v>
      </c>
      <c r="B22" s="108"/>
      <c r="C22" s="46">
        <f>SUM(C14:C21)</f>
        <v>0</v>
      </c>
      <c r="D22" s="107" t="s">
        <v>915</v>
      </c>
      <c r="E22" s="108"/>
      <c r="F22" s="46">
        <f>SUM(F14:F21)</f>
        <v>0</v>
      </c>
      <c r="G22" s="107" t="s">
        <v>928</v>
      </c>
      <c r="H22" s="108"/>
      <c r="I22" s="46">
        <f>SUM(I14:I21)</f>
        <v>0</v>
      </c>
      <c r="J22" s="30"/>
    </row>
    <row r="23" spans="1:10" ht="15.2" customHeight="1" x14ac:dyDescent="0.2">
      <c r="A23" s="8"/>
      <c r="B23" s="8"/>
      <c r="C23" s="44"/>
      <c r="D23" s="107" t="s">
        <v>916</v>
      </c>
      <c r="E23" s="108"/>
      <c r="F23" s="48">
        <v>0</v>
      </c>
      <c r="G23" s="107" t="s">
        <v>929</v>
      </c>
      <c r="H23" s="108"/>
      <c r="I23" s="46">
        <v>0</v>
      </c>
      <c r="J23" s="30"/>
    </row>
    <row r="24" spans="1:10" ht="15.2" customHeight="1" x14ac:dyDescent="0.2">
      <c r="D24" s="8"/>
      <c r="E24" s="8"/>
      <c r="F24" s="49"/>
      <c r="G24" s="107" t="s">
        <v>930</v>
      </c>
      <c r="H24" s="108"/>
      <c r="I24" s="51"/>
    </row>
    <row r="25" spans="1:10" ht="15.2" customHeight="1" x14ac:dyDescent="0.2">
      <c r="F25" s="50"/>
      <c r="G25" s="107" t="s">
        <v>931</v>
      </c>
      <c r="H25" s="108"/>
      <c r="I25" s="46">
        <v>0</v>
      </c>
      <c r="J25" s="30"/>
    </row>
    <row r="26" spans="1:10" x14ac:dyDescent="0.2">
      <c r="A26" s="7"/>
      <c r="B26" s="7"/>
      <c r="C26" s="7"/>
      <c r="G26" s="8"/>
      <c r="H26" s="8"/>
      <c r="I26" s="8"/>
    </row>
    <row r="27" spans="1:10" ht="15.2" customHeight="1" x14ac:dyDescent="0.2">
      <c r="A27" s="102" t="s">
        <v>903</v>
      </c>
      <c r="B27" s="103"/>
      <c r="C27" s="52">
        <f>SUM('Stavební rozpočet'!AJ12:AJ535)</f>
        <v>0</v>
      </c>
      <c r="D27" s="45"/>
      <c r="E27" s="7"/>
      <c r="F27" s="7"/>
      <c r="G27" s="7"/>
      <c r="H27" s="7"/>
      <c r="I27" s="7"/>
    </row>
    <row r="28" spans="1:10" ht="15.2" customHeight="1" x14ac:dyDescent="0.2">
      <c r="A28" s="102" t="s">
        <v>904</v>
      </c>
      <c r="B28" s="103"/>
      <c r="C28" s="52">
        <f>SUM('Stavební rozpočet'!AK12:AK535)</f>
        <v>0</v>
      </c>
      <c r="D28" s="102" t="s">
        <v>917</v>
      </c>
      <c r="E28" s="103"/>
      <c r="F28" s="52">
        <f>ROUND(C28*(15/100),2)</f>
        <v>0</v>
      </c>
      <c r="G28" s="102" t="s">
        <v>932</v>
      </c>
      <c r="H28" s="103"/>
      <c r="I28" s="52">
        <f>SUM(C27:C29)</f>
        <v>0</v>
      </c>
      <c r="J28" s="30"/>
    </row>
    <row r="29" spans="1:10" ht="15.2" customHeight="1" x14ac:dyDescent="0.2">
      <c r="A29" s="102" t="s">
        <v>905</v>
      </c>
      <c r="B29" s="103"/>
      <c r="C29" s="52">
        <f>SUM('Stavební rozpočet'!AL12:AL535)+(F22+I22+F23+I23+I24+I25)</f>
        <v>0</v>
      </c>
      <c r="D29" s="102" t="s">
        <v>918</v>
      </c>
      <c r="E29" s="103"/>
      <c r="F29" s="52">
        <f>ROUND(C29*(21/100),2)</f>
        <v>0</v>
      </c>
      <c r="G29" s="102" t="s">
        <v>933</v>
      </c>
      <c r="H29" s="103"/>
      <c r="I29" s="52">
        <f>SUM(F28:F29)+I28</f>
        <v>0</v>
      </c>
      <c r="J29" s="30"/>
    </row>
    <row r="30" spans="1:10" x14ac:dyDescent="0.2">
      <c r="A30" s="40"/>
      <c r="B30" s="40"/>
      <c r="C30" s="40"/>
      <c r="D30" s="40"/>
      <c r="E30" s="40"/>
      <c r="F30" s="40"/>
      <c r="G30" s="40"/>
      <c r="H30" s="40"/>
      <c r="I30" s="40"/>
    </row>
    <row r="31" spans="1:10" ht="14.45" customHeight="1" x14ac:dyDescent="0.2">
      <c r="A31" s="104" t="s">
        <v>906</v>
      </c>
      <c r="B31" s="105"/>
      <c r="C31" s="106"/>
      <c r="D31" s="104" t="s">
        <v>919</v>
      </c>
      <c r="E31" s="105"/>
      <c r="F31" s="106"/>
      <c r="G31" s="104" t="s">
        <v>934</v>
      </c>
      <c r="H31" s="105"/>
      <c r="I31" s="106"/>
      <c r="J31" s="31"/>
    </row>
    <row r="32" spans="1:10" ht="14.45" customHeight="1" x14ac:dyDescent="0.2">
      <c r="A32" s="96"/>
      <c r="B32" s="97"/>
      <c r="C32" s="98"/>
      <c r="D32" s="96"/>
      <c r="E32" s="97"/>
      <c r="F32" s="98"/>
      <c r="G32" s="96"/>
      <c r="H32" s="97"/>
      <c r="I32" s="98"/>
      <c r="J32" s="31"/>
    </row>
    <row r="33" spans="1:10" ht="14.45" customHeight="1" x14ac:dyDescent="0.2">
      <c r="A33" s="96"/>
      <c r="B33" s="97"/>
      <c r="C33" s="98"/>
      <c r="D33" s="96"/>
      <c r="E33" s="97"/>
      <c r="F33" s="98"/>
      <c r="G33" s="96"/>
      <c r="H33" s="97"/>
      <c r="I33" s="98"/>
      <c r="J33" s="31"/>
    </row>
    <row r="34" spans="1:10" ht="14.45" customHeight="1" x14ac:dyDescent="0.2">
      <c r="A34" s="96"/>
      <c r="B34" s="97"/>
      <c r="C34" s="98"/>
      <c r="D34" s="96"/>
      <c r="E34" s="97"/>
      <c r="F34" s="98"/>
      <c r="G34" s="96"/>
      <c r="H34" s="97"/>
      <c r="I34" s="98"/>
      <c r="J34" s="31"/>
    </row>
    <row r="35" spans="1:10" ht="14.45" customHeight="1" x14ac:dyDescent="0.2">
      <c r="A35" s="99" t="s">
        <v>907</v>
      </c>
      <c r="B35" s="100"/>
      <c r="C35" s="101"/>
      <c r="D35" s="99" t="s">
        <v>907</v>
      </c>
      <c r="E35" s="100"/>
      <c r="F35" s="101"/>
      <c r="G35" s="99" t="s">
        <v>907</v>
      </c>
      <c r="H35" s="100"/>
      <c r="I35" s="101"/>
      <c r="J35" s="31"/>
    </row>
    <row r="36" spans="1:10" ht="11.25" customHeight="1" x14ac:dyDescent="0.2">
      <c r="A36" s="41" t="s">
        <v>159</v>
      </c>
      <c r="B36" s="43"/>
      <c r="C36" s="43"/>
      <c r="D36" s="43"/>
      <c r="E36" s="43"/>
      <c r="F36" s="43"/>
      <c r="G36" s="43"/>
      <c r="H36" s="43"/>
      <c r="I36" s="43"/>
    </row>
    <row r="37" spans="1:10" x14ac:dyDescent="0.2">
      <c r="A37" s="55"/>
      <c r="B37" s="56"/>
      <c r="C37" s="56"/>
      <c r="D37" s="56"/>
      <c r="E37" s="56"/>
      <c r="F37" s="56"/>
      <c r="G37" s="56"/>
      <c r="H37" s="56"/>
      <c r="I37" s="56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Pospíšil Zdeněk</cp:lastModifiedBy>
  <dcterms:created xsi:type="dcterms:W3CDTF">2020-10-06T07:16:17Z</dcterms:created>
  <dcterms:modified xsi:type="dcterms:W3CDTF">2020-10-15T06:41:50Z</dcterms:modified>
</cp:coreProperties>
</file>