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Odbory\inv\ZŠ 3 Zlatý Vrch zateplení + VZT\VZ zhotovitel\soupisy prací pro VZ rozpracováno\3. ZŠ Cheb-stavební část soupis prací\3.ZŠ Cheb zadání do VZ stavební\"/>
    </mc:Choice>
  </mc:AlternateContent>
  <bookViews>
    <workbookView xWindow="0" yWindow="0" windowWidth="9660" windowHeight="5490"/>
  </bookViews>
  <sheets>
    <sheet name="Stavební rozpočet" sheetId="1" r:id="rId1"/>
    <sheet name="Krycí list rozpočtu" sheetId="2" r:id="rId2"/>
  </sheets>
  <calcPr calcId="162913"/>
</workbook>
</file>

<file path=xl/calcChain.xml><?xml version="1.0" encoding="utf-8"?>
<calcChain xmlns="http://schemas.openxmlformats.org/spreadsheetml/2006/main">
  <c r="BJ36" i="1" l="1"/>
  <c r="BF36" i="1"/>
  <c r="BD36" i="1"/>
  <c r="AP36" i="1"/>
  <c r="BI36" i="1" s="1"/>
  <c r="AC36" i="1" s="1"/>
  <c r="AO36" i="1"/>
  <c r="I36" i="1" s="1"/>
  <c r="I35" i="1" s="1"/>
  <c r="AK36" i="1"/>
  <c r="AT35" i="1" s="1"/>
  <c r="AJ36" i="1"/>
  <c r="AS35" i="1" s="1"/>
  <c r="AH36" i="1"/>
  <c r="AG36" i="1"/>
  <c r="AF36" i="1"/>
  <c r="AE36" i="1"/>
  <c r="AD36" i="1"/>
  <c r="Z36" i="1"/>
  <c r="K36" i="1"/>
  <c r="K35" i="1" s="1"/>
  <c r="K400" i="1" s="1"/>
  <c r="J36" i="1"/>
  <c r="J35" i="1" s="1"/>
  <c r="AX36" i="1" l="1"/>
  <c r="AL36" i="1"/>
  <c r="AU35" i="1" s="1"/>
  <c r="AW36" i="1"/>
  <c r="BH36" i="1"/>
  <c r="AB36" i="1" s="1"/>
  <c r="AV36" i="1" l="1"/>
  <c r="BC36" i="1"/>
  <c r="C2" i="2" l="1"/>
  <c r="F2" i="2"/>
  <c r="C4" i="2"/>
  <c r="F4" i="2"/>
  <c r="C6" i="2"/>
  <c r="F6" i="2"/>
  <c r="C8" i="2"/>
  <c r="F8" i="2"/>
  <c r="C10" i="2"/>
  <c r="F10" i="2"/>
  <c r="I10" i="2"/>
  <c r="F22" i="2"/>
  <c r="I22" i="2"/>
  <c r="K13" i="1"/>
  <c r="K12" i="1" s="1"/>
  <c r="Z13" i="1"/>
  <c r="AD13" i="1"/>
  <c r="AE13" i="1"/>
  <c r="AF13" i="1"/>
  <c r="AG13" i="1"/>
  <c r="AH13" i="1"/>
  <c r="AJ13" i="1"/>
  <c r="AK13" i="1"/>
  <c r="AO13" i="1"/>
  <c r="I13" i="1" s="1"/>
  <c r="I12" i="1" s="1"/>
  <c r="AP13" i="1"/>
  <c r="BD13" i="1"/>
  <c r="BF13" i="1"/>
  <c r="BJ13" i="1"/>
  <c r="K16" i="1"/>
  <c r="AL16" i="1" s="1"/>
  <c r="AU15" i="1" s="1"/>
  <c r="Z16" i="1"/>
  <c r="AD16" i="1"/>
  <c r="AE16" i="1"/>
  <c r="AF16" i="1"/>
  <c r="AG16" i="1"/>
  <c r="AH16" i="1"/>
  <c r="AJ16" i="1"/>
  <c r="AS15" i="1" s="1"/>
  <c r="AK16" i="1"/>
  <c r="AT15" i="1" s="1"/>
  <c r="AO16" i="1"/>
  <c r="AW16" i="1" s="1"/>
  <c r="AP16" i="1"/>
  <c r="J16" i="1" s="1"/>
  <c r="J15" i="1" s="1"/>
  <c r="BD16" i="1"/>
  <c r="BF16" i="1"/>
  <c r="BJ16" i="1"/>
  <c r="K19" i="1"/>
  <c r="AL19" i="1" s="1"/>
  <c r="Z19" i="1"/>
  <c r="AD19" i="1"/>
  <c r="AE19" i="1"/>
  <c r="AF19" i="1"/>
  <c r="AG19" i="1"/>
  <c r="AH19" i="1"/>
  <c r="AJ19" i="1"/>
  <c r="AK19" i="1"/>
  <c r="AO19" i="1"/>
  <c r="AP19" i="1"/>
  <c r="AX19" i="1" s="1"/>
  <c r="BD19" i="1"/>
  <c r="BF19" i="1"/>
  <c r="BJ19" i="1"/>
  <c r="K22" i="1"/>
  <c r="AL22" i="1" s="1"/>
  <c r="Z22" i="1"/>
  <c r="AD22" i="1"/>
  <c r="AE22" i="1"/>
  <c r="AF22" i="1"/>
  <c r="AG22" i="1"/>
  <c r="AH22" i="1"/>
  <c r="AJ22" i="1"/>
  <c r="AK22" i="1"/>
  <c r="AO22" i="1"/>
  <c r="AW22" i="1" s="1"/>
  <c r="AP22" i="1"/>
  <c r="AX22" i="1" s="1"/>
  <c r="BD22" i="1"/>
  <c r="BF22" i="1"/>
  <c r="BJ22" i="1"/>
  <c r="K25" i="1"/>
  <c r="AL25" i="1" s="1"/>
  <c r="Z25" i="1"/>
  <c r="AD25" i="1"/>
  <c r="AE25" i="1"/>
  <c r="AF25" i="1"/>
  <c r="AG25" i="1"/>
  <c r="AH25" i="1"/>
  <c r="AJ25" i="1"/>
  <c r="AK25" i="1"/>
  <c r="AO25" i="1"/>
  <c r="I25" i="1" s="1"/>
  <c r="AP25" i="1"/>
  <c r="BD25" i="1"/>
  <c r="BF25" i="1"/>
  <c r="BJ25" i="1"/>
  <c r="K28" i="1"/>
  <c r="AL28" i="1" s="1"/>
  <c r="Z28" i="1"/>
  <c r="AD28" i="1"/>
  <c r="AE28" i="1"/>
  <c r="AF28" i="1"/>
  <c r="AG28" i="1"/>
  <c r="AH28" i="1"/>
  <c r="AJ28" i="1"/>
  <c r="AK28" i="1"/>
  <c r="AO28" i="1"/>
  <c r="AW28" i="1" s="1"/>
  <c r="AP28" i="1"/>
  <c r="AX28" i="1" s="1"/>
  <c r="BD28" i="1"/>
  <c r="BF28" i="1"/>
  <c r="BJ28" i="1"/>
  <c r="K30" i="1"/>
  <c r="AL30" i="1" s="1"/>
  <c r="Z30" i="1"/>
  <c r="AD30" i="1"/>
  <c r="AE30" i="1"/>
  <c r="AF30" i="1"/>
  <c r="AG30" i="1"/>
  <c r="AH30" i="1"/>
  <c r="AJ30" i="1"/>
  <c r="AK30" i="1"/>
  <c r="AO30" i="1"/>
  <c r="I30" i="1" s="1"/>
  <c r="AP30" i="1"/>
  <c r="AX30" i="1" s="1"/>
  <c r="BD30" i="1"/>
  <c r="BF30" i="1"/>
  <c r="BI30" i="1"/>
  <c r="AC30" i="1" s="1"/>
  <c r="BJ30" i="1"/>
  <c r="K33" i="1"/>
  <c r="AL33" i="1" s="1"/>
  <c r="AU32" i="1" s="1"/>
  <c r="Z33" i="1"/>
  <c r="AD33" i="1"/>
  <c r="AE33" i="1"/>
  <c r="AF33" i="1"/>
  <c r="AG33" i="1"/>
  <c r="AH33" i="1"/>
  <c r="AJ33" i="1"/>
  <c r="AS32" i="1" s="1"/>
  <c r="AK33" i="1"/>
  <c r="AT32" i="1" s="1"/>
  <c r="AO33" i="1"/>
  <c r="AW33" i="1" s="1"/>
  <c r="AP33" i="1"/>
  <c r="J33" i="1" s="1"/>
  <c r="J32" i="1" s="1"/>
  <c r="BD33" i="1"/>
  <c r="BF33" i="1"/>
  <c r="BJ33" i="1"/>
  <c r="K38" i="1"/>
  <c r="K37" i="1" s="1"/>
  <c r="Z38" i="1"/>
  <c r="AD38" i="1"/>
  <c r="AE38" i="1"/>
  <c r="AF38" i="1"/>
  <c r="AG38" i="1"/>
  <c r="AH38" i="1"/>
  <c r="AJ38" i="1"/>
  <c r="AS37" i="1" s="1"/>
  <c r="AK38" i="1"/>
  <c r="AT37" i="1" s="1"/>
  <c r="AO38" i="1"/>
  <c r="I38" i="1" s="1"/>
  <c r="I37" i="1" s="1"/>
  <c r="AP38" i="1"/>
  <c r="BD38" i="1"/>
  <c r="BF38" i="1"/>
  <c r="BJ38" i="1"/>
  <c r="K41" i="1"/>
  <c r="Z41" i="1"/>
  <c r="AD41" i="1"/>
  <c r="AE41" i="1"/>
  <c r="AF41" i="1"/>
  <c r="AG41" i="1"/>
  <c r="AH41" i="1"/>
  <c r="AJ41" i="1"/>
  <c r="AK41" i="1"/>
  <c r="AO41" i="1"/>
  <c r="AW41" i="1" s="1"/>
  <c r="AP41" i="1"/>
  <c r="J41" i="1" s="1"/>
  <c r="BD41" i="1"/>
  <c r="BF41" i="1"/>
  <c r="BJ41" i="1"/>
  <c r="K46" i="1"/>
  <c r="AL46" i="1" s="1"/>
  <c r="Z46" i="1"/>
  <c r="AD46" i="1"/>
  <c r="AE46" i="1"/>
  <c r="AF46" i="1"/>
  <c r="AG46" i="1"/>
  <c r="AH46" i="1"/>
  <c r="AJ46" i="1"/>
  <c r="AK46" i="1"/>
  <c r="AO46" i="1"/>
  <c r="I46" i="1" s="1"/>
  <c r="AP46" i="1"/>
  <c r="BD46" i="1"/>
  <c r="BF46" i="1"/>
  <c r="BJ46" i="1"/>
  <c r="K50" i="1"/>
  <c r="Z50" i="1"/>
  <c r="AD50" i="1"/>
  <c r="AE50" i="1"/>
  <c r="AF50" i="1"/>
  <c r="AG50" i="1"/>
  <c r="AH50" i="1"/>
  <c r="AJ50" i="1"/>
  <c r="AS49" i="1" s="1"/>
  <c r="AK50" i="1"/>
  <c r="AT49" i="1" s="1"/>
  <c r="AO50" i="1"/>
  <c r="AW50" i="1" s="1"/>
  <c r="AP50" i="1"/>
  <c r="J50" i="1" s="1"/>
  <c r="J49" i="1" s="1"/>
  <c r="AX50" i="1"/>
  <c r="BD50" i="1"/>
  <c r="BF50" i="1"/>
  <c r="BI50" i="1"/>
  <c r="AC50" i="1" s="1"/>
  <c r="BJ50" i="1"/>
  <c r="K53" i="1"/>
  <c r="AL53" i="1" s="1"/>
  <c r="Z53" i="1"/>
  <c r="AD53" i="1"/>
  <c r="AE53" i="1"/>
  <c r="AF53" i="1"/>
  <c r="AG53" i="1"/>
  <c r="AH53" i="1"/>
  <c r="AJ53" i="1"/>
  <c r="AK53" i="1"/>
  <c r="AO53" i="1"/>
  <c r="AW53" i="1" s="1"/>
  <c r="AP53" i="1"/>
  <c r="AX53" i="1" s="1"/>
  <c r="BD53" i="1"/>
  <c r="BF53" i="1"/>
  <c r="BJ53" i="1"/>
  <c r="K55" i="1"/>
  <c r="Z55" i="1"/>
  <c r="AD55" i="1"/>
  <c r="AE55" i="1"/>
  <c r="AF55" i="1"/>
  <c r="AG55" i="1"/>
  <c r="AH55" i="1"/>
  <c r="AJ55" i="1"/>
  <c r="AK55" i="1"/>
  <c r="AO55" i="1"/>
  <c r="AP55" i="1"/>
  <c r="BD55" i="1"/>
  <c r="BF55" i="1"/>
  <c r="BJ55" i="1"/>
  <c r="K58" i="1"/>
  <c r="AL58" i="1" s="1"/>
  <c r="Z58" i="1"/>
  <c r="AD58" i="1"/>
  <c r="AE58" i="1"/>
  <c r="AF58" i="1"/>
  <c r="AG58" i="1"/>
  <c r="AH58" i="1"/>
  <c r="AJ58" i="1"/>
  <c r="AK58" i="1"/>
  <c r="AO58" i="1"/>
  <c r="I58" i="1" s="1"/>
  <c r="AP58" i="1"/>
  <c r="BD58" i="1"/>
  <c r="BF58" i="1"/>
  <c r="BH58" i="1"/>
  <c r="AB58" i="1" s="1"/>
  <c r="BJ58" i="1"/>
  <c r="K60" i="1"/>
  <c r="Z60" i="1"/>
  <c r="AD60" i="1"/>
  <c r="AE60" i="1"/>
  <c r="AF60" i="1"/>
  <c r="AG60" i="1"/>
  <c r="AH60" i="1"/>
  <c r="AJ60" i="1"/>
  <c r="AK60" i="1"/>
  <c r="AO60" i="1"/>
  <c r="AW60" i="1" s="1"/>
  <c r="AP60" i="1"/>
  <c r="BD60" i="1"/>
  <c r="BF60" i="1"/>
  <c r="BH60" i="1"/>
  <c r="AB60" i="1" s="1"/>
  <c r="BJ60" i="1"/>
  <c r="K62" i="1"/>
  <c r="AL62" i="1" s="1"/>
  <c r="Z62" i="1"/>
  <c r="AD62" i="1"/>
  <c r="AE62" i="1"/>
  <c r="AF62" i="1"/>
  <c r="AG62" i="1"/>
  <c r="AH62" i="1"/>
  <c r="AJ62" i="1"/>
  <c r="AK62" i="1"/>
  <c r="AO62" i="1"/>
  <c r="I62" i="1" s="1"/>
  <c r="AP62" i="1"/>
  <c r="BD62" i="1"/>
  <c r="BF62" i="1"/>
  <c r="BJ62" i="1"/>
  <c r="K64" i="1"/>
  <c r="AL64" i="1" s="1"/>
  <c r="Z64" i="1"/>
  <c r="AD64" i="1"/>
  <c r="AE64" i="1"/>
  <c r="AF64" i="1"/>
  <c r="AG64" i="1"/>
  <c r="AH64" i="1"/>
  <c r="AJ64" i="1"/>
  <c r="AK64" i="1"/>
  <c r="AO64" i="1"/>
  <c r="AW64" i="1" s="1"/>
  <c r="AP64" i="1"/>
  <c r="J64" i="1" s="1"/>
  <c r="BD64" i="1"/>
  <c r="BF64" i="1"/>
  <c r="BJ64" i="1"/>
  <c r="K66" i="1"/>
  <c r="AL66" i="1" s="1"/>
  <c r="Z66" i="1"/>
  <c r="AD66" i="1"/>
  <c r="AE66" i="1"/>
  <c r="AF66" i="1"/>
  <c r="AG66" i="1"/>
  <c r="AH66" i="1"/>
  <c r="AJ66" i="1"/>
  <c r="AK66" i="1"/>
  <c r="AO66" i="1"/>
  <c r="I66" i="1" s="1"/>
  <c r="AP66" i="1"/>
  <c r="BD66" i="1"/>
  <c r="BF66" i="1"/>
  <c r="BJ66" i="1"/>
  <c r="K70" i="1"/>
  <c r="AL70" i="1" s="1"/>
  <c r="Z70" i="1"/>
  <c r="AD70" i="1"/>
  <c r="AE70" i="1"/>
  <c r="AF70" i="1"/>
  <c r="AG70" i="1"/>
  <c r="AH70" i="1"/>
  <c r="AJ70" i="1"/>
  <c r="AK70" i="1"/>
  <c r="AO70" i="1"/>
  <c r="AP70" i="1"/>
  <c r="J70" i="1" s="1"/>
  <c r="BD70" i="1"/>
  <c r="BF70" i="1"/>
  <c r="BJ70" i="1"/>
  <c r="K78" i="1"/>
  <c r="AL78" i="1" s="1"/>
  <c r="Z78" i="1"/>
  <c r="AD78" i="1"/>
  <c r="AE78" i="1"/>
  <c r="AF78" i="1"/>
  <c r="AG78" i="1"/>
  <c r="AH78" i="1"/>
  <c r="AJ78" i="1"/>
  <c r="AK78" i="1"/>
  <c r="AO78" i="1"/>
  <c r="I78" i="1" s="1"/>
  <c r="AP78" i="1"/>
  <c r="BD78" i="1"/>
  <c r="BF78" i="1"/>
  <c r="BJ78" i="1"/>
  <c r="K80" i="1"/>
  <c r="AL80" i="1" s="1"/>
  <c r="Z80" i="1"/>
  <c r="AD80" i="1"/>
  <c r="AE80" i="1"/>
  <c r="AF80" i="1"/>
  <c r="AG80" i="1"/>
  <c r="AH80" i="1"/>
  <c r="AJ80" i="1"/>
  <c r="AK80" i="1"/>
  <c r="AO80" i="1"/>
  <c r="AP80" i="1"/>
  <c r="J80" i="1" s="1"/>
  <c r="BD80" i="1"/>
  <c r="BF80" i="1"/>
  <c r="BI80" i="1"/>
  <c r="AC80" i="1" s="1"/>
  <c r="BJ80" i="1"/>
  <c r="K82" i="1"/>
  <c r="AL82" i="1" s="1"/>
  <c r="Z82" i="1"/>
  <c r="AD82" i="1"/>
  <c r="AE82" i="1"/>
  <c r="AF82" i="1"/>
  <c r="AG82" i="1"/>
  <c r="AH82" i="1"/>
  <c r="AJ82" i="1"/>
  <c r="AK82" i="1"/>
  <c r="AO82" i="1"/>
  <c r="BH82" i="1" s="1"/>
  <c r="AB82" i="1" s="1"/>
  <c r="AP82" i="1"/>
  <c r="BD82" i="1"/>
  <c r="BF82" i="1"/>
  <c r="BJ82" i="1"/>
  <c r="K84" i="1"/>
  <c r="AL84" i="1" s="1"/>
  <c r="Z84" i="1"/>
  <c r="AD84" i="1"/>
  <c r="AE84" i="1"/>
  <c r="AF84" i="1"/>
  <c r="AG84" i="1"/>
  <c r="AH84" i="1"/>
  <c r="AJ84" i="1"/>
  <c r="AK84" i="1"/>
  <c r="AO84" i="1"/>
  <c r="AW84" i="1" s="1"/>
  <c r="AP84" i="1"/>
  <c r="J84" i="1" s="1"/>
  <c r="BD84" i="1"/>
  <c r="BF84" i="1"/>
  <c r="BH84" i="1"/>
  <c r="AB84" i="1" s="1"/>
  <c r="BJ84" i="1"/>
  <c r="K86" i="1"/>
  <c r="Z86" i="1"/>
  <c r="AD86" i="1"/>
  <c r="AE86" i="1"/>
  <c r="AF86" i="1"/>
  <c r="AG86" i="1"/>
  <c r="AH86" i="1"/>
  <c r="AJ86" i="1"/>
  <c r="AK86" i="1"/>
  <c r="AL86" i="1"/>
  <c r="AO86" i="1"/>
  <c r="I86" i="1" s="1"/>
  <c r="AP86" i="1"/>
  <c r="BD86" i="1"/>
  <c r="BF86" i="1"/>
  <c r="BJ86" i="1"/>
  <c r="K89" i="1"/>
  <c r="AL89" i="1" s="1"/>
  <c r="Z89" i="1"/>
  <c r="AD89" i="1"/>
  <c r="AE89" i="1"/>
  <c r="AF89" i="1"/>
  <c r="AG89" i="1"/>
  <c r="AH89" i="1"/>
  <c r="AJ89" i="1"/>
  <c r="AK89" i="1"/>
  <c r="AO89" i="1"/>
  <c r="AW89" i="1" s="1"/>
  <c r="AP89" i="1"/>
  <c r="AX89" i="1" s="1"/>
  <c r="BD89" i="1"/>
  <c r="BF89" i="1"/>
  <c r="BJ89" i="1"/>
  <c r="K97" i="1"/>
  <c r="AL97" i="1" s="1"/>
  <c r="Z97" i="1"/>
  <c r="AD97" i="1"/>
  <c r="AE97" i="1"/>
  <c r="AF97" i="1"/>
  <c r="AG97" i="1"/>
  <c r="AH97" i="1"/>
  <c r="AJ97" i="1"/>
  <c r="AK97" i="1"/>
  <c r="AO97" i="1"/>
  <c r="I97" i="1" s="1"/>
  <c r="AP97" i="1"/>
  <c r="J97" i="1" s="1"/>
  <c r="BD97" i="1"/>
  <c r="BF97" i="1"/>
  <c r="BH97" i="1"/>
  <c r="AB97" i="1" s="1"/>
  <c r="BJ97" i="1"/>
  <c r="K99" i="1"/>
  <c r="AL99" i="1" s="1"/>
  <c r="Z99" i="1"/>
  <c r="AD99" i="1"/>
  <c r="AE99" i="1"/>
  <c r="AF99" i="1"/>
  <c r="AG99" i="1"/>
  <c r="AH99" i="1"/>
  <c r="AJ99" i="1"/>
  <c r="AK99" i="1"/>
  <c r="AO99" i="1"/>
  <c r="AP99" i="1"/>
  <c r="BI99" i="1" s="1"/>
  <c r="AC99" i="1" s="1"/>
  <c r="BD99" i="1"/>
  <c r="BF99" i="1"/>
  <c r="BJ99" i="1"/>
  <c r="K101" i="1"/>
  <c r="AL101" i="1" s="1"/>
  <c r="Z101" i="1"/>
  <c r="AD101" i="1"/>
  <c r="AE101" i="1"/>
  <c r="AF101" i="1"/>
  <c r="AG101" i="1"/>
  <c r="AH101" i="1"/>
  <c r="AJ101" i="1"/>
  <c r="AK101" i="1"/>
  <c r="AO101" i="1"/>
  <c r="AP101" i="1"/>
  <c r="AX101" i="1" s="1"/>
  <c r="BD101" i="1"/>
  <c r="BF101" i="1"/>
  <c r="BJ101" i="1"/>
  <c r="J109" i="1"/>
  <c r="K109" i="1"/>
  <c r="AL109" i="1" s="1"/>
  <c r="Z109" i="1"/>
  <c r="AD109" i="1"/>
  <c r="AE109" i="1"/>
  <c r="AF109" i="1"/>
  <c r="AG109" i="1"/>
  <c r="AH109" i="1"/>
  <c r="AJ109" i="1"/>
  <c r="AK109" i="1"/>
  <c r="AO109" i="1"/>
  <c r="AP109" i="1"/>
  <c r="AX109" i="1"/>
  <c r="BD109" i="1"/>
  <c r="BF109" i="1"/>
  <c r="BI109" i="1"/>
  <c r="AC109" i="1" s="1"/>
  <c r="BJ109" i="1"/>
  <c r="K112" i="1"/>
  <c r="AL112" i="1" s="1"/>
  <c r="Z112" i="1"/>
  <c r="AD112" i="1"/>
  <c r="AE112" i="1"/>
  <c r="AF112" i="1"/>
  <c r="AG112" i="1"/>
  <c r="AH112" i="1"/>
  <c r="AJ112" i="1"/>
  <c r="AK112" i="1"/>
  <c r="AO112" i="1"/>
  <c r="AP112" i="1"/>
  <c r="AX112" i="1" s="1"/>
  <c r="BD112" i="1"/>
  <c r="BF112" i="1"/>
  <c r="BJ112" i="1"/>
  <c r="K117" i="1"/>
  <c r="AL117" i="1" s="1"/>
  <c r="Z117" i="1"/>
  <c r="AD117" i="1"/>
  <c r="AE117" i="1"/>
  <c r="AF117" i="1"/>
  <c r="AG117" i="1"/>
  <c r="AH117" i="1"/>
  <c r="AJ117" i="1"/>
  <c r="AK117" i="1"/>
  <c r="AO117" i="1"/>
  <c r="I117" i="1" s="1"/>
  <c r="AP117" i="1"/>
  <c r="AX117" i="1" s="1"/>
  <c r="BD117" i="1"/>
  <c r="BF117" i="1"/>
  <c r="BJ117" i="1"/>
  <c r="I119" i="1"/>
  <c r="K119" i="1"/>
  <c r="AL119" i="1" s="1"/>
  <c r="Z119" i="1"/>
  <c r="AD119" i="1"/>
  <c r="AE119" i="1"/>
  <c r="AF119" i="1"/>
  <c r="AG119" i="1"/>
  <c r="AH119" i="1"/>
  <c r="AJ119" i="1"/>
  <c r="AK119" i="1"/>
  <c r="AO119" i="1"/>
  <c r="AW119" i="1" s="1"/>
  <c r="AP119" i="1"/>
  <c r="J119" i="1" s="1"/>
  <c r="BD119" i="1"/>
  <c r="BF119" i="1"/>
  <c r="BJ119" i="1"/>
  <c r="K121" i="1"/>
  <c r="AL121" i="1" s="1"/>
  <c r="Z121" i="1"/>
  <c r="AD121" i="1"/>
  <c r="AE121" i="1"/>
  <c r="AF121" i="1"/>
  <c r="AG121" i="1"/>
  <c r="AH121" i="1"/>
  <c r="AJ121" i="1"/>
  <c r="AK121" i="1"/>
  <c r="AO121" i="1"/>
  <c r="I121" i="1" s="1"/>
  <c r="AP121" i="1"/>
  <c r="BD121" i="1"/>
  <c r="BF121" i="1"/>
  <c r="BJ121" i="1"/>
  <c r="K124" i="1"/>
  <c r="AL124" i="1" s="1"/>
  <c r="AU123" i="1" s="1"/>
  <c r="Z124" i="1"/>
  <c r="AD124" i="1"/>
  <c r="AE124" i="1"/>
  <c r="AF124" i="1"/>
  <c r="AG124" i="1"/>
  <c r="AH124" i="1"/>
  <c r="AJ124" i="1"/>
  <c r="AS123" i="1" s="1"/>
  <c r="AK124" i="1"/>
  <c r="AT123" i="1" s="1"/>
  <c r="AO124" i="1"/>
  <c r="AP124" i="1"/>
  <c r="J124" i="1" s="1"/>
  <c r="J123" i="1" s="1"/>
  <c r="BD124" i="1"/>
  <c r="BF124" i="1"/>
  <c r="BJ124" i="1"/>
  <c r="K128" i="1"/>
  <c r="AL128" i="1" s="1"/>
  <c r="Z128" i="1"/>
  <c r="AB128" i="1"/>
  <c r="AC128" i="1"/>
  <c r="AF128" i="1"/>
  <c r="AG128" i="1"/>
  <c r="AH128" i="1"/>
  <c r="AJ128" i="1"/>
  <c r="AK128" i="1"/>
  <c r="AO128" i="1"/>
  <c r="AW128" i="1" s="1"/>
  <c r="AP128" i="1"/>
  <c r="BD128" i="1"/>
  <c r="BF128" i="1"/>
  <c r="BJ128" i="1"/>
  <c r="K131" i="1"/>
  <c r="AL131" i="1" s="1"/>
  <c r="Z131" i="1"/>
  <c r="AB131" i="1"/>
  <c r="AC131" i="1"/>
  <c r="AF131" i="1"/>
  <c r="AG131" i="1"/>
  <c r="AH131" i="1"/>
  <c r="AJ131" i="1"/>
  <c r="AK131" i="1"/>
  <c r="AO131" i="1"/>
  <c r="AW131" i="1" s="1"/>
  <c r="AP131" i="1"/>
  <c r="BD131" i="1"/>
  <c r="BF131" i="1"/>
  <c r="BJ131" i="1"/>
  <c r="K133" i="1"/>
  <c r="AL133" i="1" s="1"/>
  <c r="Z133" i="1"/>
  <c r="AB133" i="1"/>
  <c r="AC133" i="1"/>
  <c r="AF133" i="1"/>
  <c r="AG133" i="1"/>
  <c r="AH133" i="1"/>
  <c r="AJ133" i="1"/>
  <c r="AK133" i="1"/>
  <c r="AO133" i="1"/>
  <c r="I133" i="1" s="1"/>
  <c r="AP133" i="1"/>
  <c r="BI133" i="1" s="1"/>
  <c r="AE133" i="1" s="1"/>
  <c r="BD133" i="1"/>
  <c r="BF133" i="1"/>
  <c r="BJ133" i="1"/>
  <c r="K135" i="1"/>
  <c r="AL135" i="1" s="1"/>
  <c r="Z135" i="1"/>
  <c r="AB135" i="1"/>
  <c r="AC135" i="1"/>
  <c r="AF135" i="1"/>
  <c r="AG135" i="1"/>
  <c r="AH135" i="1"/>
  <c r="AJ135" i="1"/>
  <c r="AK135" i="1"/>
  <c r="AO135" i="1"/>
  <c r="AP135" i="1"/>
  <c r="BD135" i="1"/>
  <c r="BF135" i="1"/>
  <c r="BJ135" i="1"/>
  <c r="K137" i="1"/>
  <c r="AL137" i="1" s="1"/>
  <c r="Z137" i="1"/>
  <c r="AB137" i="1"/>
  <c r="AC137" i="1"/>
  <c r="AF137" i="1"/>
  <c r="AG137" i="1"/>
  <c r="AH137" i="1"/>
  <c r="AJ137" i="1"/>
  <c r="AK137" i="1"/>
  <c r="AO137" i="1"/>
  <c r="I137" i="1" s="1"/>
  <c r="AP137" i="1"/>
  <c r="BD137" i="1"/>
  <c r="BF137" i="1"/>
  <c r="BJ137" i="1"/>
  <c r="K139" i="1"/>
  <c r="Z139" i="1"/>
  <c r="AB139" i="1"/>
  <c r="AC139" i="1"/>
  <c r="AF139" i="1"/>
  <c r="AG139" i="1"/>
  <c r="AH139" i="1"/>
  <c r="AJ139" i="1"/>
  <c r="AK139" i="1"/>
  <c r="AO139" i="1"/>
  <c r="AW139" i="1" s="1"/>
  <c r="AP139" i="1"/>
  <c r="AX139" i="1" s="1"/>
  <c r="BC139" i="1" s="1"/>
  <c r="BD139" i="1"/>
  <c r="BF139" i="1"/>
  <c r="BH139" i="1"/>
  <c r="AD139" i="1" s="1"/>
  <c r="BJ139" i="1"/>
  <c r="K141" i="1"/>
  <c r="AL141" i="1" s="1"/>
  <c r="Z141" i="1"/>
  <c r="AB141" i="1"/>
  <c r="AC141" i="1"/>
  <c r="AF141" i="1"/>
  <c r="AG141" i="1"/>
  <c r="AH141" i="1"/>
  <c r="AJ141" i="1"/>
  <c r="AK141" i="1"/>
  <c r="AO141" i="1"/>
  <c r="AP141" i="1"/>
  <c r="J141" i="1" s="1"/>
  <c r="BD141" i="1"/>
  <c r="BF141" i="1"/>
  <c r="BJ141" i="1"/>
  <c r="K143" i="1"/>
  <c r="AL143" i="1" s="1"/>
  <c r="Z143" i="1"/>
  <c r="AB143" i="1"/>
  <c r="AC143" i="1"/>
  <c r="AF143" i="1"/>
  <c r="AG143" i="1"/>
  <c r="AH143" i="1"/>
  <c r="AJ143" i="1"/>
  <c r="AK143" i="1"/>
  <c r="AO143" i="1"/>
  <c r="I143" i="1" s="1"/>
  <c r="AP143" i="1"/>
  <c r="AX143" i="1" s="1"/>
  <c r="BD143" i="1"/>
  <c r="BF143" i="1"/>
  <c r="BJ143" i="1"/>
  <c r="K145" i="1"/>
  <c r="AL145" i="1" s="1"/>
  <c r="Z145" i="1"/>
  <c r="AB145" i="1"/>
  <c r="AC145" i="1"/>
  <c r="AF145" i="1"/>
  <c r="AG145" i="1"/>
  <c r="AH145" i="1"/>
  <c r="AJ145" i="1"/>
  <c r="AK145" i="1"/>
  <c r="AO145" i="1"/>
  <c r="I145" i="1" s="1"/>
  <c r="AP145" i="1"/>
  <c r="AX145" i="1" s="1"/>
  <c r="BD145" i="1"/>
  <c r="BF145" i="1"/>
  <c r="BJ145" i="1"/>
  <c r="K147" i="1"/>
  <c r="AL147" i="1" s="1"/>
  <c r="Z147" i="1"/>
  <c r="AB147" i="1"/>
  <c r="AC147" i="1"/>
  <c r="AF147" i="1"/>
  <c r="AG147" i="1"/>
  <c r="AH147" i="1"/>
  <c r="AJ147" i="1"/>
  <c r="AK147" i="1"/>
  <c r="AO147" i="1"/>
  <c r="I147" i="1" s="1"/>
  <c r="AP147" i="1"/>
  <c r="J147" i="1" s="1"/>
  <c r="BD147" i="1"/>
  <c r="BF147" i="1"/>
  <c r="BJ147" i="1"/>
  <c r="K149" i="1"/>
  <c r="AL149" i="1" s="1"/>
  <c r="Z149" i="1"/>
  <c r="AB149" i="1"/>
  <c r="AC149" i="1"/>
  <c r="AF149" i="1"/>
  <c r="AG149" i="1"/>
  <c r="AH149" i="1"/>
  <c r="AJ149" i="1"/>
  <c r="AK149" i="1"/>
  <c r="AO149" i="1"/>
  <c r="I149" i="1" s="1"/>
  <c r="AP149" i="1"/>
  <c r="BD149" i="1"/>
  <c r="BF149" i="1"/>
  <c r="BJ149" i="1"/>
  <c r="K151" i="1"/>
  <c r="AL151" i="1" s="1"/>
  <c r="Z151" i="1"/>
  <c r="AB151" i="1"/>
  <c r="AC151" i="1"/>
  <c r="AF151" i="1"/>
  <c r="AG151" i="1"/>
  <c r="AH151" i="1"/>
  <c r="AJ151" i="1"/>
  <c r="AK151" i="1"/>
  <c r="AO151" i="1"/>
  <c r="AP151" i="1"/>
  <c r="AX151" i="1" s="1"/>
  <c r="BD151" i="1"/>
  <c r="BF151" i="1"/>
  <c r="BJ151" i="1"/>
  <c r="K153" i="1"/>
  <c r="AL153" i="1" s="1"/>
  <c r="Z153" i="1"/>
  <c r="AB153" i="1"/>
  <c r="AC153" i="1"/>
  <c r="AF153" i="1"/>
  <c r="AG153" i="1"/>
  <c r="AH153" i="1"/>
  <c r="AJ153" i="1"/>
  <c r="AK153" i="1"/>
  <c r="AO153" i="1"/>
  <c r="I153" i="1" s="1"/>
  <c r="AP153" i="1"/>
  <c r="BD153" i="1"/>
  <c r="BF153" i="1"/>
  <c r="BH153" i="1"/>
  <c r="AD153" i="1" s="1"/>
  <c r="BJ153" i="1"/>
  <c r="K155" i="1"/>
  <c r="AL155" i="1" s="1"/>
  <c r="Z155" i="1"/>
  <c r="AB155" i="1"/>
  <c r="AC155" i="1"/>
  <c r="AF155" i="1"/>
  <c r="AG155" i="1"/>
  <c r="AH155" i="1"/>
  <c r="AJ155" i="1"/>
  <c r="AK155" i="1"/>
  <c r="AO155" i="1"/>
  <c r="AW155" i="1" s="1"/>
  <c r="AP155" i="1"/>
  <c r="AX155" i="1" s="1"/>
  <c r="BD155" i="1"/>
  <c r="BF155" i="1"/>
  <c r="BH155" i="1"/>
  <c r="AD155" i="1" s="1"/>
  <c r="BJ155" i="1"/>
  <c r="K157" i="1"/>
  <c r="AL157" i="1" s="1"/>
  <c r="Z157" i="1"/>
  <c r="AB157" i="1"/>
  <c r="AC157" i="1"/>
  <c r="AF157" i="1"/>
  <c r="AG157" i="1"/>
  <c r="AH157" i="1"/>
  <c r="AJ157" i="1"/>
  <c r="AK157" i="1"/>
  <c r="AO157" i="1"/>
  <c r="AP157" i="1"/>
  <c r="J157" i="1" s="1"/>
  <c r="BD157" i="1"/>
  <c r="BF157" i="1"/>
  <c r="BJ157" i="1"/>
  <c r="K159" i="1"/>
  <c r="AL159" i="1" s="1"/>
  <c r="AB159" i="1"/>
  <c r="AC159" i="1"/>
  <c r="AD159" i="1"/>
  <c r="AE159" i="1"/>
  <c r="AF159" i="1"/>
  <c r="AG159" i="1"/>
  <c r="AH159" i="1"/>
  <c r="AJ159" i="1"/>
  <c r="AK159" i="1"/>
  <c r="AO159" i="1"/>
  <c r="I159" i="1" s="1"/>
  <c r="AP159" i="1"/>
  <c r="BD159" i="1"/>
  <c r="BF159" i="1"/>
  <c r="BJ159" i="1"/>
  <c r="Z159" i="1" s="1"/>
  <c r="K162" i="1"/>
  <c r="AL162" i="1" s="1"/>
  <c r="Z162" i="1"/>
  <c r="AB162" i="1"/>
  <c r="AC162" i="1"/>
  <c r="AF162" i="1"/>
  <c r="AG162" i="1"/>
  <c r="AH162" i="1"/>
  <c r="AJ162" i="1"/>
  <c r="AK162" i="1"/>
  <c r="AO162" i="1"/>
  <c r="I162" i="1" s="1"/>
  <c r="AP162" i="1"/>
  <c r="BD162" i="1"/>
  <c r="BF162" i="1"/>
  <c r="BH162" i="1"/>
  <c r="AD162" i="1" s="1"/>
  <c r="BJ162" i="1"/>
  <c r="K164" i="1"/>
  <c r="AL164" i="1" s="1"/>
  <c r="Z164" i="1"/>
  <c r="AB164" i="1"/>
  <c r="AC164" i="1"/>
  <c r="AF164" i="1"/>
  <c r="AG164" i="1"/>
  <c r="AH164" i="1"/>
  <c r="AJ164" i="1"/>
  <c r="AK164" i="1"/>
  <c r="AO164" i="1"/>
  <c r="AP164" i="1"/>
  <c r="J164" i="1" s="1"/>
  <c r="BD164" i="1"/>
  <c r="BF164" i="1"/>
  <c r="BI164" i="1"/>
  <c r="AE164" i="1" s="1"/>
  <c r="BJ164" i="1"/>
  <c r="K167" i="1"/>
  <c r="AL167" i="1" s="1"/>
  <c r="Z167" i="1"/>
  <c r="AB167" i="1"/>
  <c r="AC167" i="1"/>
  <c r="AF167" i="1"/>
  <c r="AG167" i="1"/>
  <c r="AH167" i="1"/>
  <c r="AJ167" i="1"/>
  <c r="AK167" i="1"/>
  <c r="AO167" i="1"/>
  <c r="BH167" i="1" s="1"/>
  <c r="AD167" i="1" s="1"/>
  <c r="AP167" i="1"/>
  <c r="BD167" i="1"/>
  <c r="BF167" i="1"/>
  <c r="BJ167" i="1"/>
  <c r="K171" i="1"/>
  <c r="AL171" i="1" s="1"/>
  <c r="AB171" i="1"/>
  <c r="AC171" i="1"/>
  <c r="AD171" i="1"/>
  <c r="AE171" i="1"/>
  <c r="AF171" i="1"/>
  <c r="AG171" i="1"/>
  <c r="AH171" i="1"/>
  <c r="AJ171" i="1"/>
  <c r="AK171" i="1"/>
  <c r="AO171" i="1"/>
  <c r="AW171" i="1" s="1"/>
  <c r="AP171" i="1"/>
  <c r="BD171" i="1"/>
  <c r="BF171" i="1"/>
  <c r="BH171" i="1"/>
  <c r="BJ171" i="1"/>
  <c r="Z171" i="1" s="1"/>
  <c r="K174" i="1"/>
  <c r="AL174" i="1" s="1"/>
  <c r="AU173" i="1" s="1"/>
  <c r="Z174" i="1"/>
  <c r="AB174" i="1"/>
  <c r="AC174" i="1"/>
  <c r="AF174" i="1"/>
  <c r="AG174" i="1"/>
  <c r="AH174" i="1"/>
  <c r="AJ174" i="1"/>
  <c r="AS173" i="1" s="1"/>
  <c r="AK174" i="1"/>
  <c r="AT173" i="1" s="1"/>
  <c r="AO174" i="1"/>
  <c r="AW174" i="1" s="1"/>
  <c r="AP174" i="1"/>
  <c r="J174" i="1" s="1"/>
  <c r="J173" i="1" s="1"/>
  <c r="BD174" i="1"/>
  <c r="BF174" i="1"/>
  <c r="BJ174" i="1"/>
  <c r="K177" i="1"/>
  <c r="Z177" i="1"/>
  <c r="AB177" i="1"/>
  <c r="AC177" i="1"/>
  <c r="AF177" i="1"/>
  <c r="AG177" i="1"/>
  <c r="AH177" i="1"/>
  <c r="AJ177" i="1"/>
  <c r="AK177" i="1"/>
  <c r="AO177" i="1"/>
  <c r="I177" i="1" s="1"/>
  <c r="AP177" i="1"/>
  <c r="J177" i="1" s="1"/>
  <c r="BD177" i="1"/>
  <c r="BF177" i="1"/>
  <c r="BJ177" i="1"/>
  <c r="K179" i="1"/>
  <c r="AL179" i="1" s="1"/>
  <c r="Z179" i="1"/>
  <c r="AB179" i="1"/>
  <c r="AC179" i="1"/>
  <c r="AF179" i="1"/>
  <c r="AG179" i="1"/>
  <c r="AH179" i="1"/>
  <c r="AJ179" i="1"/>
  <c r="AK179" i="1"/>
  <c r="AO179" i="1"/>
  <c r="AW179" i="1" s="1"/>
  <c r="AP179" i="1"/>
  <c r="J179" i="1" s="1"/>
  <c r="BD179" i="1"/>
  <c r="BF179" i="1"/>
  <c r="BJ179" i="1"/>
  <c r="K181" i="1"/>
  <c r="AL181" i="1" s="1"/>
  <c r="Z181" i="1"/>
  <c r="AB181" i="1"/>
  <c r="AC181" i="1"/>
  <c r="AF181" i="1"/>
  <c r="AG181" i="1"/>
  <c r="AH181" i="1"/>
  <c r="AJ181" i="1"/>
  <c r="AK181" i="1"/>
  <c r="AO181" i="1"/>
  <c r="I181" i="1" s="1"/>
  <c r="AP181" i="1"/>
  <c r="BD181" i="1"/>
  <c r="BF181" i="1"/>
  <c r="BJ181" i="1"/>
  <c r="K183" i="1"/>
  <c r="AL183" i="1" s="1"/>
  <c r="Z183" i="1"/>
  <c r="AB183" i="1"/>
  <c r="AC183" i="1"/>
  <c r="AF183" i="1"/>
  <c r="AG183" i="1"/>
  <c r="AH183" i="1"/>
  <c r="AJ183" i="1"/>
  <c r="AK183" i="1"/>
  <c r="AO183" i="1"/>
  <c r="AP183" i="1"/>
  <c r="J183" i="1" s="1"/>
  <c r="BD183" i="1"/>
  <c r="BF183" i="1"/>
  <c r="BJ183" i="1"/>
  <c r="K185" i="1"/>
  <c r="AL185" i="1" s="1"/>
  <c r="Z185" i="1"/>
  <c r="AB185" i="1"/>
  <c r="AC185" i="1"/>
  <c r="AF185" i="1"/>
  <c r="AG185" i="1"/>
  <c r="AH185" i="1"/>
  <c r="AJ185" i="1"/>
  <c r="AK185" i="1"/>
  <c r="AO185" i="1"/>
  <c r="AP185" i="1"/>
  <c r="J185" i="1" s="1"/>
  <c r="BD185" i="1"/>
  <c r="BF185" i="1"/>
  <c r="BJ185" i="1"/>
  <c r="K187" i="1"/>
  <c r="AL187" i="1" s="1"/>
  <c r="AB187" i="1"/>
  <c r="AC187" i="1"/>
  <c r="AD187" i="1"/>
  <c r="AE187" i="1"/>
  <c r="AF187" i="1"/>
  <c r="AG187" i="1"/>
  <c r="AH187" i="1"/>
  <c r="AJ187" i="1"/>
  <c r="AK187" i="1"/>
  <c r="AO187" i="1"/>
  <c r="BH187" i="1" s="1"/>
  <c r="AP187" i="1"/>
  <c r="AX187" i="1" s="1"/>
  <c r="BD187" i="1"/>
  <c r="BF187" i="1"/>
  <c r="BJ187" i="1"/>
  <c r="Z187" i="1" s="1"/>
  <c r="K190" i="1"/>
  <c r="AL190" i="1" s="1"/>
  <c r="Z190" i="1"/>
  <c r="AB190" i="1"/>
  <c r="AC190" i="1"/>
  <c r="AF190" i="1"/>
  <c r="AG190" i="1"/>
  <c r="AH190" i="1"/>
  <c r="AJ190" i="1"/>
  <c r="AK190" i="1"/>
  <c r="AO190" i="1"/>
  <c r="AP190" i="1"/>
  <c r="BD190" i="1"/>
  <c r="BF190" i="1"/>
  <c r="BJ190" i="1"/>
  <c r="K192" i="1"/>
  <c r="AL192" i="1" s="1"/>
  <c r="Z192" i="1"/>
  <c r="AB192" i="1"/>
  <c r="AC192" i="1"/>
  <c r="AF192" i="1"/>
  <c r="AG192" i="1"/>
  <c r="AH192" i="1"/>
  <c r="AJ192" i="1"/>
  <c r="AK192" i="1"/>
  <c r="AO192" i="1"/>
  <c r="I192" i="1" s="1"/>
  <c r="AP192" i="1"/>
  <c r="AX192" i="1" s="1"/>
  <c r="BD192" i="1"/>
  <c r="BF192" i="1"/>
  <c r="BJ192" i="1"/>
  <c r="K195" i="1"/>
  <c r="AL195" i="1" s="1"/>
  <c r="Z195" i="1"/>
  <c r="AB195" i="1"/>
  <c r="AC195" i="1"/>
  <c r="AF195" i="1"/>
  <c r="AG195" i="1"/>
  <c r="AH195" i="1"/>
  <c r="AJ195" i="1"/>
  <c r="AK195" i="1"/>
  <c r="AO195" i="1"/>
  <c r="I195" i="1" s="1"/>
  <c r="AP195" i="1"/>
  <c r="J195" i="1" s="1"/>
  <c r="BD195" i="1"/>
  <c r="BF195" i="1"/>
  <c r="BJ195" i="1"/>
  <c r="K197" i="1"/>
  <c r="AL197" i="1" s="1"/>
  <c r="AB197" i="1"/>
  <c r="AC197" i="1"/>
  <c r="AD197" i="1"/>
  <c r="AE197" i="1"/>
  <c r="AF197" i="1"/>
  <c r="AG197" i="1"/>
  <c r="AH197" i="1"/>
  <c r="AJ197" i="1"/>
  <c r="AK197" i="1"/>
  <c r="AO197" i="1"/>
  <c r="I197" i="1" s="1"/>
  <c r="AP197" i="1"/>
  <c r="BI197" i="1" s="1"/>
  <c r="BD197" i="1"/>
  <c r="BF197" i="1"/>
  <c r="BJ197" i="1"/>
  <c r="Z197" i="1" s="1"/>
  <c r="K200" i="1"/>
  <c r="AL200" i="1" s="1"/>
  <c r="Z200" i="1"/>
  <c r="AB200" i="1"/>
  <c r="AC200" i="1"/>
  <c r="AF200" i="1"/>
  <c r="AG200" i="1"/>
  <c r="AH200" i="1"/>
  <c r="AJ200" i="1"/>
  <c r="AK200" i="1"/>
  <c r="AO200" i="1"/>
  <c r="AP200" i="1"/>
  <c r="J200" i="1" s="1"/>
  <c r="BD200" i="1"/>
  <c r="BF200" i="1"/>
  <c r="BJ200" i="1"/>
  <c r="K202" i="1"/>
  <c r="AL202" i="1" s="1"/>
  <c r="Z202" i="1"/>
  <c r="AB202" i="1"/>
  <c r="AC202" i="1"/>
  <c r="AF202" i="1"/>
  <c r="AG202" i="1"/>
  <c r="AH202" i="1"/>
  <c r="AJ202" i="1"/>
  <c r="AK202" i="1"/>
  <c r="AO202" i="1"/>
  <c r="AP202" i="1"/>
  <c r="BI202" i="1" s="1"/>
  <c r="AE202" i="1" s="1"/>
  <c r="BD202" i="1"/>
  <c r="BF202" i="1"/>
  <c r="BJ202" i="1"/>
  <c r="K204" i="1"/>
  <c r="AL204" i="1" s="1"/>
  <c r="AB204" i="1"/>
  <c r="AC204" i="1"/>
  <c r="AD204" i="1"/>
  <c r="AE204" i="1"/>
  <c r="AF204" i="1"/>
  <c r="AG204" i="1"/>
  <c r="AH204" i="1"/>
  <c r="AJ204" i="1"/>
  <c r="AK204" i="1"/>
  <c r="AO204" i="1"/>
  <c r="AP204" i="1"/>
  <c r="AX204" i="1" s="1"/>
  <c r="BD204" i="1"/>
  <c r="BF204" i="1"/>
  <c r="BJ204" i="1"/>
  <c r="Z204" i="1" s="1"/>
  <c r="K207" i="1"/>
  <c r="Z207" i="1"/>
  <c r="AB207" i="1"/>
  <c r="AC207" i="1"/>
  <c r="AF207" i="1"/>
  <c r="AG207" i="1"/>
  <c r="AH207" i="1"/>
  <c r="AJ207" i="1"/>
  <c r="AK207" i="1"/>
  <c r="AO207" i="1"/>
  <c r="AW207" i="1" s="1"/>
  <c r="AP207" i="1"/>
  <c r="J207" i="1" s="1"/>
  <c r="BD207" i="1"/>
  <c r="BF207" i="1"/>
  <c r="BJ207" i="1"/>
  <c r="K210" i="1"/>
  <c r="AL210" i="1" s="1"/>
  <c r="Z210" i="1"/>
  <c r="AB210" i="1"/>
  <c r="AC210" i="1"/>
  <c r="AF210" i="1"/>
  <c r="AG210" i="1"/>
  <c r="AH210" i="1"/>
  <c r="AJ210" i="1"/>
  <c r="AK210" i="1"/>
  <c r="AO210" i="1"/>
  <c r="AW210" i="1" s="1"/>
  <c r="AP210" i="1"/>
  <c r="J210" i="1" s="1"/>
  <c r="BD210" i="1"/>
  <c r="BF210" i="1"/>
  <c r="BJ210" i="1"/>
  <c r="K212" i="1"/>
  <c r="AL212" i="1" s="1"/>
  <c r="Z212" i="1"/>
  <c r="AB212" i="1"/>
  <c r="AC212" i="1"/>
  <c r="AF212" i="1"/>
  <c r="AG212" i="1"/>
  <c r="AH212" i="1"/>
  <c r="AJ212" i="1"/>
  <c r="AK212" i="1"/>
  <c r="AO212" i="1"/>
  <c r="I212" i="1" s="1"/>
  <c r="AP212" i="1"/>
  <c r="BD212" i="1"/>
  <c r="BF212" i="1"/>
  <c r="BJ212" i="1"/>
  <c r="K214" i="1"/>
  <c r="AL214" i="1" s="1"/>
  <c r="Z214" i="1"/>
  <c r="AB214" i="1"/>
  <c r="AC214" i="1"/>
  <c r="AF214" i="1"/>
  <c r="AG214" i="1"/>
  <c r="AH214" i="1"/>
  <c r="AJ214" i="1"/>
  <c r="AK214" i="1"/>
  <c r="AO214" i="1"/>
  <c r="I214" i="1" s="1"/>
  <c r="AP214" i="1"/>
  <c r="J214" i="1" s="1"/>
  <c r="BD214" i="1"/>
  <c r="BF214" i="1"/>
  <c r="BJ214" i="1"/>
  <c r="K217" i="1"/>
  <c r="AL217" i="1" s="1"/>
  <c r="Z217" i="1"/>
  <c r="AB217" i="1"/>
  <c r="AC217" i="1"/>
  <c r="AF217" i="1"/>
  <c r="AG217" i="1"/>
  <c r="AH217" i="1"/>
  <c r="AJ217" i="1"/>
  <c r="AK217" i="1"/>
  <c r="AO217" i="1"/>
  <c r="AP217" i="1"/>
  <c r="J217" i="1" s="1"/>
  <c r="BD217" i="1"/>
  <c r="BF217" i="1"/>
  <c r="BJ217" i="1"/>
  <c r="K219" i="1"/>
  <c r="AL219" i="1" s="1"/>
  <c r="AB219" i="1"/>
  <c r="AC219" i="1"/>
  <c r="AD219" i="1"/>
  <c r="AE219" i="1"/>
  <c r="AF219" i="1"/>
  <c r="AG219" i="1"/>
  <c r="AH219" i="1"/>
  <c r="AJ219" i="1"/>
  <c r="AK219" i="1"/>
  <c r="AO219" i="1"/>
  <c r="AP219" i="1"/>
  <c r="J219" i="1" s="1"/>
  <c r="BD219" i="1"/>
  <c r="BF219" i="1"/>
  <c r="BI219" i="1"/>
  <c r="BJ219" i="1"/>
  <c r="Z219" i="1" s="1"/>
  <c r="K222" i="1"/>
  <c r="Z222" i="1"/>
  <c r="AB222" i="1"/>
  <c r="AC222" i="1"/>
  <c r="AF222" i="1"/>
  <c r="AG222" i="1"/>
  <c r="AH222" i="1"/>
  <c r="AJ222" i="1"/>
  <c r="AS221" i="1" s="1"/>
  <c r="AK222" i="1"/>
  <c r="AT221" i="1" s="1"/>
  <c r="AO222" i="1"/>
  <c r="I222" i="1" s="1"/>
  <c r="I221" i="1" s="1"/>
  <c r="AP222" i="1"/>
  <c r="BD222" i="1"/>
  <c r="BF222" i="1"/>
  <c r="BJ222" i="1"/>
  <c r="K225" i="1"/>
  <c r="AL225" i="1" s="1"/>
  <c r="Z225" i="1"/>
  <c r="AB225" i="1"/>
  <c r="AC225" i="1"/>
  <c r="AF225" i="1"/>
  <c r="AG225" i="1"/>
  <c r="AH225" i="1"/>
  <c r="AJ225" i="1"/>
  <c r="AK225" i="1"/>
  <c r="AO225" i="1"/>
  <c r="AP225" i="1"/>
  <c r="J225" i="1" s="1"/>
  <c r="AX225" i="1"/>
  <c r="BD225" i="1"/>
  <c r="BF225" i="1"/>
  <c r="BI225" i="1"/>
  <c r="AE225" i="1" s="1"/>
  <c r="BJ225" i="1"/>
  <c r="K233" i="1"/>
  <c r="AL233" i="1" s="1"/>
  <c r="Z233" i="1"/>
  <c r="AB233" i="1"/>
  <c r="AC233" i="1"/>
  <c r="AF233" i="1"/>
  <c r="AG233" i="1"/>
  <c r="AH233" i="1"/>
  <c r="AJ233" i="1"/>
  <c r="AK233" i="1"/>
  <c r="AO233" i="1"/>
  <c r="AP233" i="1"/>
  <c r="BI233" i="1" s="1"/>
  <c r="AE233" i="1" s="1"/>
  <c r="BD233" i="1"/>
  <c r="BF233" i="1"/>
  <c r="BJ233" i="1"/>
  <c r="K235" i="1"/>
  <c r="AL235" i="1" s="1"/>
  <c r="Z235" i="1"/>
  <c r="AB235" i="1"/>
  <c r="AC235" i="1"/>
  <c r="AF235" i="1"/>
  <c r="AG235" i="1"/>
  <c r="AH235" i="1"/>
  <c r="AJ235" i="1"/>
  <c r="AK235" i="1"/>
  <c r="AO235" i="1"/>
  <c r="I235" i="1" s="1"/>
  <c r="AP235" i="1"/>
  <c r="J235" i="1" s="1"/>
  <c r="BD235" i="1"/>
  <c r="BF235" i="1"/>
  <c r="BJ235" i="1"/>
  <c r="K237" i="1"/>
  <c r="AL237" i="1" s="1"/>
  <c r="Z237" i="1"/>
  <c r="AB237" i="1"/>
  <c r="AC237" i="1"/>
  <c r="AF237" i="1"/>
  <c r="AG237" i="1"/>
  <c r="AH237" i="1"/>
  <c r="AJ237" i="1"/>
  <c r="AK237" i="1"/>
  <c r="AO237" i="1"/>
  <c r="AW237" i="1" s="1"/>
  <c r="AP237" i="1"/>
  <c r="AX237" i="1" s="1"/>
  <c r="BD237" i="1"/>
  <c r="BF237" i="1"/>
  <c r="BJ237" i="1"/>
  <c r="K239" i="1"/>
  <c r="AL239" i="1" s="1"/>
  <c r="Z239" i="1"/>
  <c r="AB239" i="1"/>
  <c r="AC239" i="1"/>
  <c r="AF239" i="1"/>
  <c r="AG239" i="1"/>
  <c r="AH239" i="1"/>
  <c r="AJ239" i="1"/>
  <c r="AK239" i="1"/>
  <c r="AO239" i="1"/>
  <c r="I239" i="1" s="1"/>
  <c r="AP239" i="1"/>
  <c r="BI239" i="1" s="1"/>
  <c r="AE239" i="1" s="1"/>
  <c r="BD239" i="1"/>
  <c r="BF239" i="1"/>
  <c r="BJ239" i="1"/>
  <c r="K241" i="1"/>
  <c r="AL241" i="1" s="1"/>
  <c r="Z241" i="1"/>
  <c r="AB241" i="1"/>
  <c r="AC241" i="1"/>
  <c r="AF241" i="1"/>
  <c r="AG241" i="1"/>
  <c r="AH241" i="1"/>
  <c r="AJ241" i="1"/>
  <c r="AK241" i="1"/>
  <c r="AO241" i="1"/>
  <c r="AP241" i="1"/>
  <c r="BD241" i="1"/>
  <c r="BF241" i="1"/>
  <c r="BJ241" i="1"/>
  <c r="K243" i="1"/>
  <c r="AL243" i="1" s="1"/>
  <c r="Z243" i="1"/>
  <c r="AB243" i="1"/>
  <c r="AC243" i="1"/>
  <c r="AF243" i="1"/>
  <c r="AG243" i="1"/>
  <c r="AH243" i="1"/>
  <c r="AJ243" i="1"/>
  <c r="AK243" i="1"/>
  <c r="AO243" i="1"/>
  <c r="I243" i="1" s="1"/>
  <c r="AP243" i="1"/>
  <c r="J243" i="1" s="1"/>
  <c r="BD243" i="1"/>
  <c r="BF243" i="1"/>
  <c r="BJ243" i="1"/>
  <c r="K245" i="1"/>
  <c r="AL245" i="1" s="1"/>
  <c r="Z245" i="1"/>
  <c r="AB245" i="1"/>
  <c r="AC245" i="1"/>
  <c r="AF245" i="1"/>
  <c r="AG245" i="1"/>
  <c r="AH245" i="1"/>
  <c r="AJ245" i="1"/>
  <c r="AK245" i="1"/>
  <c r="AO245" i="1"/>
  <c r="I245" i="1" s="1"/>
  <c r="AP245" i="1"/>
  <c r="J245" i="1" s="1"/>
  <c r="AW245" i="1"/>
  <c r="BD245" i="1"/>
  <c r="BF245" i="1"/>
  <c r="BJ245" i="1"/>
  <c r="K247" i="1"/>
  <c r="AL247" i="1" s="1"/>
  <c r="Z247" i="1"/>
  <c r="AB247" i="1"/>
  <c r="AC247" i="1"/>
  <c r="AF247" i="1"/>
  <c r="AG247" i="1"/>
  <c r="AH247" i="1"/>
  <c r="AJ247" i="1"/>
  <c r="AK247" i="1"/>
  <c r="AO247" i="1"/>
  <c r="I247" i="1" s="1"/>
  <c r="AP247" i="1"/>
  <c r="BD247" i="1"/>
  <c r="BF247" i="1"/>
  <c r="BH247" i="1"/>
  <c r="AD247" i="1" s="1"/>
  <c r="BJ247" i="1"/>
  <c r="K249" i="1"/>
  <c r="AL249" i="1" s="1"/>
  <c r="AB249" i="1"/>
  <c r="AC249" i="1"/>
  <c r="AD249" i="1"/>
  <c r="AE249" i="1"/>
  <c r="AF249" i="1"/>
  <c r="AG249" i="1"/>
  <c r="AH249" i="1"/>
  <c r="AJ249" i="1"/>
  <c r="AK249" i="1"/>
  <c r="AO249" i="1"/>
  <c r="AW249" i="1" s="1"/>
  <c r="AP249" i="1"/>
  <c r="BD249" i="1"/>
  <c r="BF249" i="1"/>
  <c r="BJ249" i="1"/>
  <c r="Z249" i="1" s="1"/>
  <c r="K252" i="1"/>
  <c r="AL252" i="1" s="1"/>
  <c r="Z252" i="1"/>
  <c r="AB252" i="1"/>
  <c r="AC252" i="1"/>
  <c r="AF252" i="1"/>
  <c r="AG252" i="1"/>
  <c r="AH252" i="1"/>
  <c r="AJ252" i="1"/>
  <c r="AK252" i="1"/>
  <c r="AO252" i="1"/>
  <c r="AW252" i="1" s="1"/>
  <c r="AP252" i="1"/>
  <c r="AX252" i="1" s="1"/>
  <c r="BD252" i="1"/>
  <c r="BF252" i="1"/>
  <c r="BJ252" i="1"/>
  <c r="K254" i="1"/>
  <c r="AL254" i="1" s="1"/>
  <c r="Z254" i="1"/>
  <c r="AB254" i="1"/>
  <c r="AC254" i="1"/>
  <c r="AF254" i="1"/>
  <c r="AG254" i="1"/>
  <c r="AH254" i="1"/>
  <c r="AJ254" i="1"/>
  <c r="AK254" i="1"/>
  <c r="AO254" i="1"/>
  <c r="I254" i="1" s="1"/>
  <c r="AP254" i="1"/>
  <c r="J254" i="1" s="1"/>
  <c r="BD254" i="1"/>
  <c r="BF254" i="1"/>
  <c r="BJ254" i="1"/>
  <c r="K256" i="1"/>
  <c r="AL256" i="1" s="1"/>
  <c r="AB256" i="1"/>
  <c r="AC256" i="1"/>
  <c r="AD256" i="1"/>
  <c r="AE256" i="1"/>
  <c r="AF256" i="1"/>
  <c r="AG256" i="1"/>
  <c r="AH256" i="1"/>
  <c r="AJ256" i="1"/>
  <c r="AK256" i="1"/>
  <c r="AO256" i="1"/>
  <c r="I256" i="1" s="1"/>
  <c r="AP256" i="1"/>
  <c r="BD256" i="1"/>
  <c r="BF256" i="1"/>
  <c r="BJ256" i="1"/>
  <c r="Z256" i="1" s="1"/>
  <c r="K259" i="1"/>
  <c r="AL259" i="1" s="1"/>
  <c r="Z259" i="1"/>
  <c r="AB259" i="1"/>
  <c r="AC259" i="1"/>
  <c r="AF259" i="1"/>
  <c r="AG259" i="1"/>
  <c r="AH259" i="1"/>
  <c r="AJ259" i="1"/>
  <c r="AK259" i="1"/>
  <c r="AO259" i="1"/>
  <c r="AW259" i="1" s="1"/>
  <c r="AP259" i="1"/>
  <c r="J259" i="1" s="1"/>
  <c r="BD259" i="1"/>
  <c r="BF259" i="1"/>
  <c r="BJ259" i="1"/>
  <c r="K261" i="1"/>
  <c r="AL261" i="1" s="1"/>
  <c r="Z261" i="1"/>
  <c r="AB261" i="1"/>
  <c r="AC261" i="1"/>
  <c r="AF261" i="1"/>
  <c r="AG261" i="1"/>
  <c r="AH261" i="1"/>
  <c r="AJ261" i="1"/>
  <c r="AK261" i="1"/>
  <c r="AO261" i="1"/>
  <c r="AP261" i="1"/>
  <c r="J261" i="1" s="1"/>
  <c r="AX261" i="1"/>
  <c r="BD261" i="1"/>
  <c r="BF261" i="1"/>
  <c r="BI261" i="1"/>
  <c r="AE261" i="1" s="1"/>
  <c r="BJ261" i="1"/>
  <c r="K268" i="1"/>
  <c r="AL268" i="1" s="1"/>
  <c r="AU267" i="1" s="1"/>
  <c r="Z268" i="1"/>
  <c r="AB268" i="1"/>
  <c r="AC268" i="1"/>
  <c r="AF268" i="1"/>
  <c r="AG268" i="1"/>
  <c r="AH268" i="1"/>
  <c r="AJ268" i="1"/>
  <c r="AS267" i="1" s="1"/>
  <c r="AK268" i="1"/>
  <c r="AT267" i="1" s="1"/>
  <c r="AO268" i="1"/>
  <c r="AP268" i="1"/>
  <c r="J268" i="1" s="1"/>
  <c r="J267" i="1" s="1"/>
  <c r="BD268" i="1"/>
  <c r="BF268" i="1"/>
  <c r="BJ268" i="1"/>
  <c r="K272" i="1"/>
  <c r="AL272" i="1" s="1"/>
  <c r="Z272" i="1"/>
  <c r="AD272" i="1"/>
  <c r="AE272" i="1"/>
  <c r="AF272" i="1"/>
  <c r="AG272" i="1"/>
  <c r="AH272" i="1"/>
  <c r="AJ272" i="1"/>
  <c r="AK272" i="1"/>
  <c r="AO272" i="1"/>
  <c r="I272" i="1" s="1"/>
  <c r="AP272" i="1"/>
  <c r="AX272" i="1" s="1"/>
  <c r="BD272" i="1"/>
  <c r="BF272" i="1"/>
  <c r="BJ272" i="1"/>
  <c r="K275" i="1"/>
  <c r="AL275" i="1" s="1"/>
  <c r="Z275" i="1"/>
  <c r="AD275" i="1"/>
  <c r="AE275" i="1"/>
  <c r="AF275" i="1"/>
  <c r="AG275" i="1"/>
  <c r="AH275" i="1"/>
  <c r="AJ275" i="1"/>
  <c r="AK275" i="1"/>
  <c r="AO275" i="1"/>
  <c r="AW275" i="1" s="1"/>
  <c r="AP275" i="1"/>
  <c r="J275" i="1" s="1"/>
  <c r="AX275" i="1"/>
  <c r="BD275" i="1"/>
  <c r="BF275" i="1"/>
  <c r="BI275" i="1"/>
  <c r="AC275" i="1" s="1"/>
  <c r="BJ275" i="1"/>
  <c r="K277" i="1"/>
  <c r="AL277" i="1" s="1"/>
  <c r="Z277" i="1"/>
  <c r="AD277" i="1"/>
  <c r="AE277" i="1"/>
  <c r="AF277" i="1"/>
  <c r="AG277" i="1"/>
  <c r="AH277" i="1"/>
  <c r="AJ277" i="1"/>
  <c r="AK277" i="1"/>
  <c r="AO277" i="1"/>
  <c r="I277" i="1" s="1"/>
  <c r="AP277" i="1"/>
  <c r="BD277" i="1"/>
  <c r="BF277" i="1"/>
  <c r="BJ277" i="1"/>
  <c r="K279" i="1"/>
  <c r="AL279" i="1" s="1"/>
  <c r="Z279" i="1"/>
  <c r="AD279" i="1"/>
  <c r="AE279" i="1"/>
  <c r="AF279" i="1"/>
  <c r="AG279" i="1"/>
  <c r="AH279" i="1"/>
  <c r="AJ279" i="1"/>
  <c r="AK279" i="1"/>
  <c r="AO279" i="1"/>
  <c r="AW279" i="1" s="1"/>
  <c r="AP279" i="1"/>
  <c r="J279" i="1" s="1"/>
  <c r="BD279" i="1"/>
  <c r="BF279" i="1"/>
  <c r="BJ279" i="1"/>
  <c r="K281" i="1"/>
  <c r="AL281" i="1" s="1"/>
  <c r="Z281" i="1"/>
  <c r="AD281" i="1"/>
  <c r="AE281" i="1"/>
  <c r="AF281" i="1"/>
  <c r="AG281" i="1"/>
  <c r="AH281" i="1"/>
  <c r="AJ281" i="1"/>
  <c r="AK281" i="1"/>
  <c r="AO281" i="1"/>
  <c r="AP281" i="1"/>
  <c r="BD281" i="1"/>
  <c r="BF281" i="1"/>
  <c r="BJ281" i="1"/>
  <c r="K283" i="1"/>
  <c r="AL283" i="1" s="1"/>
  <c r="Z283" i="1"/>
  <c r="AD283" i="1"/>
  <c r="AE283" i="1"/>
  <c r="AF283" i="1"/>
  <c r="AG283" i="1"/>
  <c r="AH283" i="1"/>
  <c r="AJ283" i="1"/>
  <c r="AK283" i="1"/>
  <c r="AO283" i="1"/>
  <c r="AP283" i="1"/>
  <c r="BI283" i="1" s="1"/>
  <c r="AC283" i="1" s="1"/>
  <c r="BD283" i="1"/>
  <c r="BF283" i="1"/>
  <c r="BJ283" i="1"/>
  <c r="K285" i="1"/>
  <c r="AL285" i="1" s="1"/>
  <c r="Z285" i="1"/>
  <c r="AD285" i="1"/>
  <c r="AE285" i="1"/>
  <c r="AF285" i="1"/>
  <c r="AG285" i="1"/>
  <c r="AH285" i="1"/>
  <c r="AJ285" i="1"/>
  <c r="AK285" i="1"/>
  <c r="AO285" i="1"/>
  <c r="AP285" i="1"/>
  <c r="J285" i="1" s="1"/>
  <c r="BD285" i="1"/>
  <c r="BF285" i="1"/>
  <c r="BJ285" i="1"/>
  <c r="K288" i="1"/>
  <c r="AL288" i="1" s="1"/>
  <c r="AB288" i="1"/>
  <c r="AC288" i="1"/>
  <c r="AD288" i="1"/>
  <c r="AE288" i="1"/>
  <c r="AF288" i="1"/>
  <c r="AG288" i="1"/>
  <c r="AH288" i="1"/>
  <c r="AJ288" i="1"/>
  <c r="AK288" i="1"/>
  <c r="AO288" i="1"/>
  <c r="AP288" i="1"/>
  <c r="J288" i="1" s="1"/>
  <c r="BD288" i="1"/>
  <c r="BF288" i="1"/>
  <c r="BJ288" i="1"/>
  <c r="Z288" i="1" s="1"/>
  <c r="K291" i="1"/>
  <c r="Z291" i="1"/>
  <c r="AD291" i="1"/>
  <c r="AE291" i="1"/>
  <c r="AF291" i="1"/>
  <c r="AG291" i="1"/>
  <c r="AH291" i="1"/>
  <c r="AJ291" i="1"/>
  <c r="AK291" i="1"/>
  <c r="AO291" i="1"/>
  <c r="AP291" i="1"/>
  <c r="AX291" i="1" s="1"/>
  <c r="BD291" i="1"/>
  <c r="BF291" i="1"/>
  <c r="BJ291" i="1"/>
  <c r="K293" i="1"/>
  <c r="AL293" i="1" s="1"/>
  <c r="Z293" i="1"/>
  <c r="AD293" i="1"/>
  <c r="AE293" i="1"/>
  <c r="AF293" i="1"/>
  <c r="AG293" i="1"/>
  <c r="AH293" i="1"/>
  <c r="AJ293" i="1"/>
  <c r="AK293" i="1"/>
  <c r="AO293" i="1"/>
  <c r="AP293" i="1"/>
  <c r="AX293" i="1" s="1"/>
  <c r="BD293" i="1"/>
  <c r="BF293" i="1"/>
  <c r="BJ293" i="1"/>
  <c r="K295" i="1"/>
  <c r="AL295" i="1" s="1"/>
  <c r="Z295" i="1"/>
  <c r="AD295" i="1"/>
  <c r="AE295" i="1"/>
  <c r="AF295" i="1"/>
  <c r="AG295" i="1"/>
  <c r="AH295" i="1"/>
  <c r="AJ295" i="1"/>
  <c r="AK295" i="1"/>
  <c r="AO295" i="1"/>
  <c r="I295" i="1" s="1"/>
  <c r="AP295" i="1"/>
  <c r="AW295" i="1"/>
  <c r="BD295" i="1"/>
  <c r="BF295" i="1"/>
  <c r="BI295" i="1"/>
  <c r="AC295" i="1" s="1"/>
  <c r="BJ295" i="1"/>
  <c r="K297" i="1"/>
  <c r="AL297" i="1" s="1"/>
  <c r="Z297" i="1"/>
  <c r="AD297" i="1"/>
  <c r="AE297" i="1"/>
  <c r="AF297" i="1"/>
  <c r="AG297" i="1"/>
  <c r="AH297" i="1"/>
  <c r="AJ297" i="1"/>
  <c r="AK297" i="1"/>
  <c r="AO297" i="1"/>
  <c r="BH297" i="1" s="1"/>
  <c r="AB297" i="1" s="1"/>
  <c r="AP297" i="1"/>
  <c r="BD297" i="1"/>
  <c r="BF297" i="1"/>
  <c r="BJ297" i="1"/>
  <c r="K304" i="1"/>
  <c r="AL304" i="1" s="1"/>
  <c r="Z304" i="1"/>
  <c r="AD304" i="1"/>
  <c r="AE304" i="1"/>
  <c r="AF304" i="1"/>
  <c r="AG304" i="1"/>
  <c r="AH304" i="1"/>
  <c r="AJ304" i="1"/>
  <c r="AK304" i="1"/>
  <c r="AO304" i="1"/>
  <c r="I304" i="1" s="1"/>
  <c r="AP304" i="1"/>
  <c r="BD304" i="1"/>
  <c r="BF304" i="1"/>
  <c r="BJ304" i="1"/>
  <c r="K307" i="1"/>
  <c r="AL307" i="1" s="1"/>
  <c r="Z307" i="1"/>
  <c r="AD307" i="1"/>
  <c r="AE307" i="1"/>
  <c r="AF307" i="1"/>
  <c r="AG307" i="1"/>
  <c r="AH307" i="1"/>
  <c r="AJ307" i="1"/>
  <c r="AK307" i="1"/>
  <c r="AO307" i="1"/>
  <c r="BH307" i="1" s="1"/>
  <c r="AB307" i="1" s="1"/>
  <c r="AP307" i="1"/>
  <c r="J307" i="1" s="1"/>
  <c r="BD307" i="1"/>
  <c r="BF307" i="1"/>
  <c r="BJ307" i="1"/>
  <c r="K309" i="1"/>
  <c r="AL309" i="1" s="1"/>
  <c r="Z309" i="1"/>
  <c r="AD309" i="1"/>
  <c r="AE309" i="1"/>
  <c r="AF309" i="1"/>
  <c r="AG309" i="1"/>
  <c r="AH309" i="1"/>
  <c r="AJ309" i="1"/>
  <c r="AK309" i="1"/>
  <c r="AO309" i="1"/>
  <c r="I309" i="1" s="1"/>
  <c r="AP309" i="1"/>
  <c r="BD309" i="1"/>
  <c r="BF309" i="1"/>
  <c r="BJ309" i="1"/>
  <c r="K311" i="1"/>
  <c r="AL311" i="1" s="1"/>
  <c r="Z311" i="1"/>
  <c r="AD311" i="1"/>
  <c r="AE311" i="1"/>
  <c r="AF311" i="1"/>
  <c r="AG311" i="1"/>
  <c r="AH311" i="1"/>
  <c r="AJ311" i="1"/>
  <c r="AK311" i="1"/>
  <c r="AO311" i="1"/>
  <c r="AW311" i="1" s="1"/>
  <c r="AP311" i="1"/>
  <c r="J311" i="1" s="1"/>
  <c r="BD311" i="1"/>
  <c r="BF311" i="1"/>
  <c r="BJ311" i="1"/>
  <c r="K317" i="1"/>
  <c r="Z317" i="1"/>
  <c r="AD317" i="1"/>
  <c r="AE317" i="1"/>
  <c r="AF317" i="1"/>
  <c r="AG317" i="1"/>
  <c r="AH317" i="1"/>
  <c r="AJ317" i="1"/>
  <c r="AK317" i="1"/>
  <c r="AL317" i="1"/>
  <c r="AO317" i="1"/>
  <c r="I317" i="1" s="1"/>
  <c r="AP317" i="1"/>
  <c r="BD317" i="1"/>
  <c r="BF317" i="1"/>
  <c r="BJ317" i="1"/>
  <c r="K322" i="1"/>
  <c r="AL322" i="1" s="1"/>
  <c r="Z322" i="1"/>
  <c r="AD322" i="1"/>
  <c r="AE322" i="1"/>
  <c r="AF322" i="1"/>
  <c r="AG322" i="1"/>
  <c r="AH322" i="1"/>
  <c r="AJ322" i="1"/>
  <c r="AK322" i="1"/>
  <c r="AO322" i="1"/>
  <c r="I322" i="1" s="1"/>
  <c r="AP322" i="1"/>
  <c r="BI322" i="1" s="1"/>
  <c r="AC322" i="1" s="1"/>
  <c r="BD322" i="1"/>
  <c r="BF322" i="1"/>
  <c r="BJ322" i="1"/>
  <c r="K324" i="1"/>
  <c r="AL324" i="1" s="1"/>
  <c r="Z324" i="1"/>
  <c r="AD324" i="1"/>
  <c r="AE324" i="1"/>
  <c r="AF324" i="1"/>
  <c r="AG324" i="1"/>
  <c r="AH324" i="1"/>
  <c r="AJ324" i="1"/>
  <c r="AK324" i="1"/>
  <c r="AO324" i="1"/>
  <c r="AP324" i="1"/>
  <c r="J324" i="1" s="1"/>
  <c r="BD324" i="1"/>
  <c r="BF324" i="1"/>
  <c r="BJ324" i="1"/>
  <c r="K327" i="1"/>
  <c r="AL327" i="1" s="1"/>
  <c r="Z327" i="1"/>
  <c r="AD327" i="1"/>
  <c r="AE327" i="1"/>
  <c r="AF327" i="1"/>
  <c r="AG327" i="1"/>
  <c r="AH327" i="1"/>
  <c r="AJ327" i="1"/>
  <c r="AK327" i="1"/>
  <c r="AO327" i="1"/>
  <c r="I327" i="1" s="1"/>
  <c r="AP327" i="1"/>
  <c r="J327" i="1" s="1"/>
  <c r="BD327" i="1"/>
  <c r="BF327" i="1"/>
  <c r="BI327" i="1"/>
  <c r="AC327" i="1" s="1"/>
  <c r="BJ327" i="1"/>
  <c r="K330" i="1"/>
  <c r="AL330" i="1" s="1"/>
  <c r="Z330" i="1"/>
  <c r="AD330" i="1"/>
  <c r="AE330" i="1"/>
  <c r="AF330" i="1"/>
  <c r="AG330" i="1"/>
  <c r="AH330" i="1"/>
  <c r="AJ330" i="1"/>
  <c r="AK330" i="1"/>
  <c r="AO330" i="1"/>
  <c r="I330" i="1" s="1"/>
  <c r="AP330" i="1"/>
  <c r="BD330" i="1"/>
  <c r="BF330" i="1"/>
  <c r="BJ330" i="1"/>
  <c r="K332" i="1"/>
  <c r="AL332" i="1" s="1"/>
  <c r="Z332" i="1"/>
  <c r="AD332" i="1"/>
  <c r="AE332" i="1"/>
  <c r="AF332" i="1"/>
  <c r="AG332" i="1"/>
  <c r="AH332" i="1"/>
  <c r="AJ332" i="1"/>
  <c r="AK332" i="1"/>
  <c r="AO332" i="1"/>
  <c r="AP332" i="1"/>
  <c r="BD332" i="1"/>
  <c r="BF332" i="1"/>
  <c r="BJ332" i="1"/>
  <c r="K334" i="1"/>
  <c r="AL334" i="1" s="1"/>
  <c r="Z334" i="1"/>
  <c r="AD334" i="1"/>
  <c r="AE334" i="1"/>
  <c r="AF334" i="1"/>
  <c r="AG334" i="1"/>
  <c r="AH334" i="1"/>
  <c r="AJ334" i="1"/>
  <c r="AK334" i="1"/>
  <c r="AO334" i="1"/>
  <c r="BH334" i="1" s="1"/>
  <c r="AB334" i="1" s="1"/>
  <c r="AP334" i="1"/>
  <c r="J334" i="1" s="1"/>
  <c r="BD334" i="1"/>
  <c r="BF334" i="1"/>
  <c r="BJ334" i="1"/>
  <c r="K337" i="1"/>
  <c r="AL337" i="1" s="1"/>
  <c r="Z337" i="1"/>
  <c r="AD337" i="1"/>
  <c r="AE337" i="1"/>
  <c r="AF337" i="1"/>
  <c r="AG337" i="1"/>
  <c r="AH337" i="1"/>
  <c r="AJ337" i="1"/>
  <c r="AK337" i="1"/>
  <c r="AO337" i="1"/>
  <c r="I337" i="1" s="1"/>
  <c r="AP337" i="1"/>
  <c r="BD337" i="1"/>
  <c r="BF337" i="1"/>
  <c r="BJ337" i="1"/>
  <c r="K339" i="1"/>
  <c r="AL339" i="1" s="1"/>
  <c r="Z339" i="1"/>
  <c r="AD339" i="1"/>
  <c r="AE339" i="1"/>
  <c r="AF339" i="1"/>
  <c r="AG339" i="1"/>
  <c r="AH339" i="1"/>
  <c r="AJ339" i="1"/>
  <c r="AK339" i="1"/>
  <c r="AO339" i="1"/>
  <c r="I339" i="1" s="1"/>
  <c r="AP339" i="1"/>
  <c r="AX339" i="1" s="1"/>
  <c r="AW339" i="1"/>
  <c r="BC339" i="1" s="1"/>
  <c r="BD339" i="1"/>
  <c r="BF339" i="1"/>
  <c r="BH339" i="1"/>
  <c r="AB339" i="1" s="1"/>
  <c r="BJ339" i="1"/>
  <c r="K341" i="1"/>
  <c r="AL341" i="1" s="1"/>
  <c r="Z341" i="1"/>
  <c r="AD341" i="1"/>
  <c r="AE341" i="1"/>
  <c r="AF341" i="1"/>
  <c r="AG341" i="1"/>
  <c r="AH341" i="1"/>
  <c r="AJ341" i="1"/>
  <c r="AK341" i="1"/>
  <c r="AO341" i="1"/>
  <c r="AW341" i="1" s="1"/>
  <c r="AP341" i="1"/>
  <c r="BD341" i="1"/>
  <c r="BF341" i="1"/>
  <c r="BJ341" i="1"/>
  <c r="K343" i="1"/>
  <c r="AL343" i="1" s="1"/>
  <c r="Z343" i="1"/>
  <c r="AD343" i="1"/>
  <c r="AE343" i="1"/>
  <c r="AF343" i="1"/>
  <c r="AG343" i="1"/>
  <c r="AH343" i="1"/>
  <c r="AJ343" i="1"/>
  <c r="AK343" i="1"/>
  <c r="AO343" i="1"/>
  <c r="AP343" i="1"/>
  <c r="AX343" i="1" s="1"/>
  <c r="BD343" i="1"/>
  <c r="BF343" i="1"/>
  <c r="BJ343" i="1"/>
  <c r="K346" i="1"/>
  <c r="AL346" i="1" s="1"/>
  <c r="Z346" i="1"/>
  <c r="AD346" i="1"/>
  <c r="AE346" i="1"/>
  <c r="AF346" i="1"/>
  <c r="AG346" i="1"/>
  <c r="AH346" i="1"/>
  <c r="AJ346" i="1"/>
  <c r="AK346" i="1"/>
  <c r="AO346" i="1"/>
  <c r="BH346" i="1" s="1"/>
  <c r="AB346" i="1" s="1"/>
  <c r="AP346" i="1"/>
  <c r="J346" i="1" s="1"/>
  <c r="BD346" i="1"/>
  <c r="BF346" i="1"/>
  <c r="BJ346" i="1"/>
  <c r="K348" i="1"/>
  <c r="AL348" i="1" s="1"/>
  <c r="Z348" i="1"/>
  <c r="AD348" i="1"/>
  <c r="AE348" i="1"/>
  <c r="AF348" i="1"/>
  <c r="AG348" i="1"/>
  <c r="AH348" i="1"/>
  <c r="AJ348" i="1"/>
  <c r="AK348" i="1"/>
  <c r="AO348" i="1"/>
  <c r="AW348" i="1" s="1"/>
  <c r="AP348" i="1"/>
  <c r="BI348" i="1" s="1"/>
  <c r="AC348" i="1" s="1"/>
  <c r="BD348" i="1"/>
  <c r="BF348" i="1"/>
  <c r="BJ348" i="1"/>
  <c r="K351" i="1"/>
  <c r="AL351" i="1" s="1"/>
  <c r="Z351" i="1"/>
  <c r="AD351" i="1"/>
  <c r="AE351" i="1"/>
  <c r="AF351" i="1"/>
  <c r="AG351" i="1"/>
  <c r="AH351" i="1"/>
  <c r="AJ351" i="1"/>
  <c r="AK351" i="1"/>
  <c r="AO351" i="1"/>
  <c r="I351" i="1" s="1"/>
  <c r="AP351" i="1"/>
  <c r="J351" i="1" s="1"/>
  <c r="BD351" i="1"/>
  <c r="BF351" i="1"/>
  <c r="BJ351" i="1"/>
  <c r="K354" i="1"/>
  <c r="AL354" i="1" s="1"/>
  <c r="Z354" i="1"/>
  <c r="AD354" i="1"/>
  <c r="AE354" i="1"/>
  <c r="AF354" i="1"/>
  <c r="AG354" i="1"/>
  <c r="AH354" i="1"/>
  <c r="AJ354" i="1"/>
  <c r="AK354" i="1"/>
  <c r="AO354" i="1"/>
  <c r="I354" i="1" s="1"/>
  <c r="AP354" i="1"/>
  <c r="AX354" i="1" s="1"/>
  <c r="BD354" i="1"/>
  <c r="BF354" i="1"/>
  <c r="BJ354" i="1"/>
  <c r="K357" i="1"/>
  <c r="AL357" i="1" s="1"/>
  <c r="Z357" i="1"/>
  <c r="AD357" i="1"/>
  <c r="AE357" i="1"/>
  <c r="AF357" i="1"/>
  <c r="AG357" i="1"/>
  <c r="AH357" i="1"/>
  <c r="AJ357" i="1"/>
  <c r="AK357" i="1"/>
  <c r="AO357" i="1"/>
  <c r="AW357" i="1" s="1"/>
  <c r="AP357" i="1"/>
  <c r="J357" i="1" s="1"/>
  <c r="BD357" i="1"/>
  <c r="BF357" i="1"/>
  <c r="BJ357" i="1"/>
  <c r="K361" i="1"/>
  <c r="Z361" i="1"/>
  <c r="AD361" i="1"/>
  <c r="AE361" i="1"/>
  <c r="AF361" i="1"/>
  <c r="AG361" i="1"/>
  <c r="AH361" i="1"/>
  <c r="AJ361" i="1"/>
  <c r="AK361" i="1"/>
  <c r="AL361" i="1"/>
  <c r="AO361" i="1"/>
  <c r="AP361" i="1"/>
  <c r="J361" i="1" s="1"/>
  <c r="BD361" i="1"/>
  <c r="BF361" i="1"/>
  <c r="BJ361" i="1"/>
  <c r="K366" i="1"/>
  <c r="AL366" i="1" s="1"/>
  <c r="Z366" i="1"/>
  <c r="AD366" i="1"/>
  <c r="AE366" i="1"/>
  <c r="AF366" i="1"/>
  <c r="AG366" i="1"/>
  <c r="AH366" i="1"/>
  <c r="AJ366" i="1"/>
  <c r="AK366" i="1"/>
  <c r="AO366" i="1"/>
  <c r="AW366" i="1" s="1"/>
  <c r="AP366" i="1"/>
  <c r="AX366" i="1" s="1"/>
  <c r="BD366" i="1"/>
  <c r="BF366" i="1"/>
  <c r="BJ366" i="1"/>
  <c r="K371" i="1"/>
  <c r="AL371" i="1" s="1"/>
  <c r="Z371" i="1"/>
  <c r="AD371" i="1"/>
  <c r="AE371" i="1"/>
  <c r="AF371" i="1"/>
  <c r="AG371" i="1"/>
  <c r="AH371" i="1"/>
  <c r="AJ371" i="1"/>
  <c r="AK371" i="1"/>
  <c r="AO371" i="1"/>
  <c r="I371" i="1" s="1"/>
  <c r="AP371" i="1"/>
  <c r="AX371" i="1" s="1"/>
  <c r="BD371" i="1"/>
  <c r="BF371" i="1"/>
  <c r="BJ371" i="1"/>
  <c r="K374" i="1"/>
  <c r="K373" i="1" s="1"/>
  <c r="AB374" i="1"/>
  <c r="AC374" i="1"/>
  <c r="AD374" i="1"/>
  <c r="AE374" i="1"/>
  <c r="AF374" i="1"/>
  <c r="AG374" i="1"/>
  <c r="AH374" i="1"/>
  <c r="AJ374" i="1"/>
  <c r="AS373" i="1" s="1"/>
  <c r="AK374" i="1"/>
  <c r="AT373" i="1" s="1"/>
  <c r="AO374" i="1"/>
  <c r="AP374" i="1"/>
  <c r="AX374" i="1" s="1"/>
  <c r="BD374" i="1"/>
  <c r="BF374" i="1"/>
  <c r="BJ374" i="1"/>
  <c r="Z374" i="1" s="1"/>
  <c r="K377" i="1"/>
  <c r="K376" i="1" s="1"/>
  <c r="Z377" i="1"/>
  <c r="AB377" i="1"/>
  <c r="AC377" i="1"/>
  <c r="AD377" i="1"/>
  <c r="AE377" i="1"/>
  <c r="AH377" i="1"/>
  <c r="AJ377" i="1"/>
  <c r="AS376" i="1" s="1"/>
  <c r="AK377" i="1"/>
  <c r="AT376" i="1" s="1"/>
  <c r="AO377" i="1"/>
  <c r="I377" i="1" s="1"/>
  <c r="I376" i="1" s="1"/>
  <c r="AP377" i="1"/>
  <c r="AX377" i="1" s="1"/>
  <c r="BD377" i="1"/>
  <c r="BF377" i="1"/>
  <c r="BJ377" i="1"/>
  <c r="K380" i="1"/>
  <c r="AB380" i="1"/>
  <c r="AC380" i="1"/>
  <c r="AD380" i="1"/>
  <c r="AE380" i="1"/>
  <c r="AF380" i="1"/>
  <c r="AG380" i="1"/>
  <c r="AH380" i="1"/>
  <c r="AJ380" i="1"/>
  <c r="AK380" i="1"/>
  <c r="AO380" i="1"/>
  <c r="I380" i="1" s="1"/>
  <c r="AP380" i="1"/>
  <c r="J380" i="1" s="1"/>
  <c r="BD380" i="1"/>
  <c r="BF380" i="1"/>
  <c r="BH380" i="1"/>
  <c r="BJ380" i="1"/>
  <c r="Z380" i="1" s="1"/>
  <c r="K382" i="1"/>
  <c r="AL382" i="1" s="1"/>
  <c r="AB382" i="1"/>
  <c r="AC382" i="1"/>
  <c r="AD382" i="1"/>
  <c r="AE382" i="1"/>
  <c r="AF382" i="1"/>
  <c r="AG382" i="1"/>
  <c r="AH382" i="1"/>
  <c r="AJ382" i="1"/>
  <c r="AK382" i="1"/>
  <c r="AO382" i="1"/>
  <c r="I382" i="1" s="1"/>
  <c r="AP382" i="1"/>
  <c r="J382" i="1" s="1"/>
  <c r="BD382" i="1"/>
  <c r="BF382" i="1"/>
  <c r="BH382" i="1"/>
  <c r="BJ382" i="1"/>
  <c r="Z382" i="1" s="1"/>
  <c r="K384" i="1"/>
  <c r="AL384" i="1" s="1"/>
  <c r="AB384" i="1"/>
  <c r="AC384" i="1"/>
  <c r="AD384" i="1"/>
  <c r="AE384" i="1"/>
  <c r="AF384" i="1"/>
  <c r="AG384" i="1"/>
  <c r="AH384" i="1"/>
  <c r="AJ384" i="1"/>
  <c r="AK384" i="1"/>
  <c r="AO384" i="1"/>
  <c r="I384" i="1" s="1"/>
  <c r="AP384" i="1"/>
  <c r="BD384" i="1"/>
  <c r="BF384" i="1"/>
  <c r="BH384" i="1"/>
  <c r="BJ384" i="1"/>
  <c r="Z384" i="1" s="1"/>
  <c r="K386" i="1"/>
  <c r="AL386" i="1" s="1"/>
  <c r="AB386" i="1"/>
  <c r="AC386" i="1"/>
  <c r="AD386" i="1"/>
  <c r="AE386" i="1"/>
  <c r="AF386" i="1"/>
  <c r="AG386" i="1"/>
  <c r="AH386" i="1"/>
  <c r="AJ386" i="1"/>
  <c r="AK386" i="1"/>
  <c r="AO386" i="1"/>
  <c r="AW386" i="1" s="1"/>
  <c r="AP386" i="1"/>
  <c r="J386" i="1" s="1"/>
  <c r="BD386" i="1"/>
  <c r="BF386" i="1"/>
  <c r="BJ386" i="1"/>
  <c r="Z386" i="1" s="1"/>
  <c r="K388" i="1"/>
  <c r="AL388" i="1" s="1"/>
  <c r="AB388" i="1"/>
  <c r="AC388" i="1"/>
  <c r="AD388" i="1"/>
  <c r="AE388" i="1"/>
  <c r="AF388" i="1"/>
  <c r="AG388" i="1"/>
  <c r="AH388" i="1"/>
  <c r="AJ388" i="1"/>
  <c r="AK388" i="1"/>
  <c r="AO388" i="1"/>
  <c r="I388" i="1" s="1"/>
  <c r="AP388" i="1"/>
  <c r="J388" i="1" s="1"/>
  <c r="BD388" i="1"/>
  <c r="BF388" i="1"/>
  <c r="BH388" i="1"/>
  <c r="BJ388" i="1"/>
  <c r="Z388" i="1" s="1"/>
  <c r="K390" i="1"/>
  <c r="AL390" i="1" s="1"/>
  <c r="AB390" i="1"/>
  <c r="AC390" i="1"/>
  <c r="AD390" i="1"/>
  <c r="AE390" i="1"/>
  <c r="AF390" i="1"/>
  <c r="AG390" i="1"/>
  <c r="AH390" i="1"/>
  <c r="AJ390" i="1"/>
  <c r="AK390" i="1"/>
  <c r="AO390" i="1"/>
  <c r="I390" i="1" s="1"/>
  <c r="AP390" i="1"/>
  <c r="J390" i="1" s="1"/>
  <c r="BD390" i="1"/>
  <c r="BF390" i="1"/>
  <c r="BJ390" i="1"/>
  <c r="Z390" i="1" s="1"/>
  <c r="K392" i="1"/>
  <c r="AL392" i="1" s="1"/>
  <c r="AB392" i="1"/>
  <c r="AC392" i="1"/>
  <c r="AD392" i="1"/>
  <c r="AE392" i="1"/>
  <c r="AF392" i="1"/>
  <c r="AG392" i="1"/>
  <c r="AH392" i="1"/>
  <c r="AJ392" i="1"/>
  <c r="AK392" i="1"/>
  <c r="AO392" i="1"/>
  <c r="AW392" i="1" s="1"/>
  <c r="AP392" i="1"/>
  <c r="BD392" i="1"/>
  <c r="BF392" i="1"/>
  <c r="BH392" i="1"/>
  <c r="BJ392" i="1"/>
  <c r="Z392" i="1" s="1"/>
  <c r="K394" i="1"/>
  <c r="AL394" i="1" s="1"/>
  <c r="AB394" i="1"/>
  <c r="AC394" i="1"/>
  <c r="AD394" i="1"/>
  <c r="AE394" i="1"/>
  <c r="AF394" i="1"/>
  <c r="AG394" i="1"/>
  <c r="AH394" i="1"/>
  <c r="AJ394" i="1"/>
  <c r="AK394" i="1"/>
  <c r="AO394" i="1"/>
  <c r="AW394" i="1" s="1"/>
  <c r="AP394" i="1"/>
  <c r="J394" i="1" s="1"/>
  <c r="BD394" i="1"/>
  <c r="BF394" i="1"/>
  <c r="BJ394" i="1"/>
  <c r="Z394" i="1" s="1"/>
  <c r="K396" i="1"/>
  <c r="AL396" i="1" s="1"/>
  <c r="AB396" i="1"/>
  <c r="AC396" i="1"/>
  <c r="AD396" i="1"/>
  <c r="AE396" i="1"/>
  <c r="AF396" i="1"/>
  <c r="AG396" i="1"/>
  <c r="AH396" i="1"/>
  <c r="AJ396" i="1"/>
  <c r="AK396" i="1"/>
  <c r="AO396" i="1"/>
  <c r="I396" i="1" s="1"/>
  <c r="AP396" i="1"/>
  <c r="J396" i="1" s="1"/>
  <c r="BD396" i="1"/>
  <c r="BF396" i="1"/>
  <c r="BJ396" i="1"/>
  <c r="Z396" i="1" s="1"/>
  <c r="K398" i="1"/>
  <c r="AL398" i="1" s="1"/>
  <c r="AB398" i="1"/>
  <c r="AC398" i="1"/>
  <c r="AD398" i="1"/>
  <c r="AE398" i="1"/>
  <c r="AF398" i="1"/>
  <c r="AG398" i="1"/>
  <c r="AH398" i="1"/>
  <c r="AJ398" i="1"/>
  <c r="AK398" i="1"/>
  <c r="AO398" i="1"/>
  <c r="I398" i="1" s="1"/>
  <c r="AP398" i="1"/>
  <c r="J398" i="1" s="1"/>
  <c r="BD398" i="1"/>
  <c r="BF398" i="1"/>
  <c r="BJ398" i="1"/>
  <c r="Z398" i="1" s="1"/>
  <c r="AT199" i="1" l="1"/>
  <c r="BI185" i="1"/>
  <c r="AE185" i="1" s="1"/>
  <c r="BC275" i="1"/>
  <c r="AV50" i="1"/>
  <c r="I50" i="1"/>
  <c r="I49" i="1" s="1"/>
  <c r="BI374" i="1"/>
  <c r="BH330" i="1"/>
  <c r="AB330" i="1" s="1"/>
  <c r="J377" i="1"/>
  <c r="J376" i="1" s="1"/>
  <c r="J343" i="1"/>
  <c r="BI339" i="1"/>
  <c r="AC339" i="1" s="1"/>
  <c r="AX327" i="1"/>
  <c r="AX185" i="1"/>
  <c r="BI70" i="1"/>
  <c r="AC70" i="1" s="1"/>
  <c r="AX219" i="1"/>
  <c r="BI210" i="1"/>
  <c r="AE210" i="1" s="1"/>
  <c r="AW66" i="1"/>
  <c r="AL38" i="1"/>
  <c r="AU37" i="1" s="1"/>
  <c r="AT18" i="1"/>
  <c r="BI16" i="1"/>
  <c r="AC16" i="1" s="1"/>
  <c r="BI235" i="1"/>
  <c r="AE235" i="1" s="1"/>
  <c r="BI214" i="1"/>
  <c r="AE214" i="1" s="1"/>
  <c r="BI192" i="1"/>
  <c r="AE192" i="1" s="1"/>
  <c r="BI157" i="1"/>
  <c r="AE157" i="1" s="1"/>
  <c r="BI145" i="1"/>
  <c r="AE145" i="1" s="1"/>
  <c r="AS52" i="1"/>
  <c r="BI334" i="1"/>
  <c r="AC334" i="1" s="1"/>
  <c r="AW309" i="1"/>
  <c r="BI288" i="1"/>
  <c r="BI195" i="1"/>
  <c r="AE195" i="1" s="1"/>
  <c r="AW149" i="1"/>
  <c r="AW78" i="1"/>
  <c r="BI53" i="1"/>
  <c r="AC53" i="1" s="1"/>
  <c r="BC53" i="1"/>
  <c r="AW30" i="1"/>
  <c r="BC30" i="1" s="1"/>
  <c r="BI279" i="1"/>
  <c r="AC279" i="1" s="1"/>
  <c r="BC252" i="1"/>
  <c r="I311" i="1"/>
  <c r="BH222" i="1"/>
  <c r="AD222" i="1" s="1"/>
  <c r="BI217" i="1"/>
  <c r="AE217" i="1" s="1"/>
  <c r="AW382" i="1"/>
  <c r="BI307" i="1"/>
  <c r="AC307" i="1" s="1"/>
  <c r="AW212" i="1"/>
  <c r="BI207" i="1"/>
  <c r="AE207" i="1" s="1"/>
  <c r="AW159" i="1"/>
  <c r="AX80" i="1"/>
  <c r="AW58" i="1"/>
  <c r="BI22" i="1"/>
  <c r="AC22" i="1" s="1"/>
  <c r="AS18" i="1"/>
  <c r="AX16" i="1"/>
  <c r="J197" i="1"/>
  <c r="J374" i="1"/>
  <c r="J373" i="1" s="1"/>
  <c r="BI357" i="1"/>
  <c r="AC357" i="1" s="1"/>
  <c r="AV339" i="1"/>
  <c r="AX307" i="1"/>
  <c r="AX288" i="1"/>
  <c r="BI254" i="1"/>
  <c r="AE254" i="1" s="1"/>
  <c r="AX207" i="1"/>
  <c r="AX119" i="1"/>
  <c r="BC119" i="1" s="1"/>
  <c r="AX70" i="1"/>
  <c r="BH50" i="1"/>
  <c r="AB50" i="1" s="1"/>
  <c r="BI33" i="1"/>
  <c r="AC33" i="1" s="1"/>
  <c r="AL13" i="1"/>
  <c r="AU12" i="1" s="1"/>
  <c r="AW390" i="1"/>
  <c r="AV390" i="1" s="1"/>
  <c r="AL374" i="1"/>
  <c r="AU373" i="1" s="1"/>
  <c r="AW371" i="1"/>
  <c r="AW256" i="1"/>
  <c r="AV252" i="1"/>
  <c r="I252" i="1"/>
  <c r="I237" i="1"/>
  <c r="BH192" i="1"/>
  <c r="AD192" i="1" s="1"/>
  <c r="AW192" i="1"/>
  <c r="AW121" i="1"/>
  <c r="AW62" i="1"/>
  <c r="AT24" i="1"/>
  <c r="BH390" i="1"/>
  <c r="BI382" i="1"/>
  <c r="AX382" i="1"/>
  <c r="BI380" i="1"/>
  <c r="AX380" i="1"/>
  <c r="BC366" i="1"/>
  <c r="BI351" i="1"/>
  <c r="AC351" i="1" s="1"/>
  <c r="BI311" i="1"/>
  <c r="AC311" i="1" s="1"/>
  <c r="AX259" i="1"/>
  <c r="BC259" i="1" s="1"/>
  <c r="AW243" i="1"/>
  <c r="AX195" i="1"/>
  <c r="AS189" i="1"/>
  <c r="AW153" i="1"/>
  <c r="AW145" i="1"/>
  <c r="BC145" i="1" s="1"/>
  <c r="BI89" i="1"/>
  <c r="AC89" i="1" s="1"/>
  <c r="I84" i="1"/>
  <c r="BH62" i="1"/>
  <c r="AB62" i="1" s="1"/>
  <c r="J28" i="1"/>
  <c r="AT258" i="1"/>
  <c r="AS258" i="1"/>
  <c r="AS176" i="1"/>
  <c r="AT161" i="1"/>
  <c r="J53" i="1"/>
  <c r="BI398" i="1"/>
  <c r="AX398" i="1"/>
  <c r="BI396" i="1"/>
  <c r="AX396" i="1"/>
  <c r="BI377" i="1"/>
  <c r="AG377" i="1" s="1"/>
  <c r="BH371" i="1"/>
  <c r="AB371" i="1" s="1"/>
  <c r="I366" i="1"/>
  <c r="AX361" i="1"/>
  <c r="AX351" i="1"/>
  <c r="BI346" i="1"/>
  <c r="AC346" i="1" s="1"/>
  <c r="AX346" i="1"/>
  <c r="AX334" i="1"/>
  <c r="BH327" i="1"/>
  <c r="AB327" i="1" s="1"/>
  <c r="AW327" i="1"/>
  <c r="BC327" i="1" s="1"/>
  <c r="BH295" i="1"/>
  <c r="AB295" i="1" s="1"/>
  <c r="AX279" i="1"/>
  <c r="BH275" i="1"/>
  <c r="AB275" i="1" s="1"/>
  <c r="BI272" i="1"/>
  <c r="AC272" i="1" s="1"/>
  <c r="BH259" i="1"/>
  <c r="AD259" i="1" s="1"/>
  <c r="BH252" i="1"/>
  <c r="AD252" i="1" s="1"/>
  <c r="BH245" i="1"/>
  <c r="AD245" i="1" s="1"/>
  <c r="BH243" i="1"/>
  <c r="AD243" i="1" s="1"/>
  <c r="AX235" i="1"/>
  <c r="AX217" i="1"/>
  <c r="BH212" i="1"/>
  <c r="AD212" i="1" s="1"/>
  <c r="AX210" i="1"/>
  <c r="AV210" i="1" s="1"/>
  <c r="BI204" i="1"/>
  <c r="J204" i="1"/>
  <c r="AX202" i="1"/>
  <c r="AX197" i="1"/>
  <c r="AW187" i="1"/>
  <c r="BC187" i="1" s="1"/>
  <c r="BI177" i="1"/>
  <c r="AE177" i="1" s="1"/>
  <c r="AX177" i="1"/>
  <c r="AW167" i="1"/>
  <c r="I167" i="1"/>
  <c r="BH159" i="1"/>
  <c r="BI151" i="1"/>
  <c r="AE151" i="1" s="1"/>
  <c r="BH149" i="1"/>
  <c r="AD149" i="1" s="1"/>
  <c r="BH145" i="1"/>
  <c r="AD145" i="1" s="1"/>
  <c r="AX133" i="1"/>
  <c r="BH121" i="1"/>
  <c r="AB121" i="1" s="1"/>
  <c r="BH119" i="1"/>
  <c r="AB119" i="1" s="1"/>
  <c r="AW117" i="1"/>
  <c r="BI101" i="1"/>
  <c r="AC101" i="1" s="1"/>
  <c r="I89" i="1"/>
  <c r="BH78" i="1"/>
  <c r="AB78" i="1" s="1"/>
  <c r="BH66" i="1"/>
  <c r="AB66" i="1" s="1"/>
  <c r="BI64" i="1"/>
  <c r="AC64" i="1" s="1"/>
  <c r="AX64" i="1"/>
  <c r="AV64" i="1" s="1"/>
  <c r="I53" i="1"/>
  <c r="BI41" i="1"/>
  <c r="AC41" i="1" s="1"/>
  <c r="AX41" i="1"/>
  <c r="AV41" i="1" s="1"/>
  <c r="AT40" i="1"/>
  <c r="BH30" i="1"/>
  <c r="AB30" i="1" s="1"/>
  <c r="AV28" i="1"/>
  <c r="I28" i="1"/>
  <c r="AT251" i="1"/>
  <c r="AU251" i="1"/>
  <c r="I187" i="1"/>
  <c r="AU24" i="1"/>
  <c r="BI112" i="1"/>
  <c r="AC112" i="1" s="1"/>
  <c r="J89" i="1"/>
  <c r="BH398" i="1"/>
  <c r="AW398" i="1"/>
  <c r="BH396" i="1"/>
  <c r="BI390" i="1"/>
  <c r="AX390" i="1"/>
  <c r="BI388" i="1"/>
  <c r="AX388" i="1"/>
  <c r="AX324" i="1"/>
  <c r="AX311" i="1"/>
  <c r="AV311" i="1" s="1"/>
  <c r="AX285" i="1"/>
  <c r="AX214" i="1"/>
  <c r="AS206" i="1"/>
  <c r="I210" i="1"/>
  <c r="BH197" i="1"/>
  <c r="BH177" i="1"/>
  <c r="AD177" i="1" s="1"/>
  <c r="AW177" i="1"/>
  <c r="BH133" i="1"/>
  <c r="AD133" i="1" s="1"/>
  <c r="BH117" i="1"/>
  <c r="AB117" i="1" s="1"/>
  <c r="J112" i="1"/>
  <c r="AW97" i="1"/>
  <c r="BI84" i="1"/>
  <c r="AC84" i="1" s="1"/>
  <c r="AX84" i="1"/>
  <c r="AV84" i="1" s="1"/>
  <c r="BH64" i="1"/>
  <c r="AB64" i="1" s="1"/>
  <c r="I64" i="1"/>
  <c r="I60" i="1"/>
  <c r="BH41" i="1"/>
  <c r="AB41" i="1" s="1"/>
  <c r="AS40" i="1"/>
  <c r="I41" i="1"/>
  <c r="I40" i="1" s="1"/>
  <c r="AX33" i="1"/>
  <c r="AV33" i="1" s="1"/>
  <c r="AU18" i="1"/>
  <c r="AX392" i="1"/>
  <c r="AV392" i="1" s="1"/>
  <c r="BI392" i="1"/>
  <c r="J392" i="1"/>
  <c r="J297" i="1"/>
  <c r="AX297" i="1"/>
  <c r="AW281" i="1"/>
  <c r="BH281" i="1"/>
  <c r="AB281" i="1" s="1"/>
  <c r="BI394" i="1"/>
  <c r="BI386" i="1"/>
  <c r="AW354" i="1"/>
  <c r="BH354" i="1"/>
  <c r="AB354" i="1" s="1"/>
  <c r="AX348" i="1"/>
  <c r="BC348" i="1" s="1"/>
  <c r="J348" i="1"/>
  <c r="I324" i="1"/>
  <c r="AW324" i="1"/>
  <c r="BH324" i="1"/>
  <c r="AB324" i="1" s="1"/>
  <c r="J293" i="1"/>
  <c r="I281" i="1"/>
  <c r="AW225" i="1"/>
  <c r="AV225" i="1" s="1"/>
  <c r="BH225" i="1"/>
  <c r="AD225" i="1" s="1"/>
  <c r="I225" i="1"/>
  <c r="AV187" i="1"/>
  <c r="AX159" i="1"/>
  <c r="BC159" i="1" s="1"/>
  <c r="BI159" i="1"/>
  <c r="J159" i="1"/>
  <c r="BC371" i="1"/>
  <c r="AV371" i="1"/>
  <c r="AX337" i="1"/>
  <c r="BI337" i="1"/>
  <c r="AC337" i="1" s="1"/>
  <c r="J337" i="1"/>
  <c r="AW332" i="1"/>
  <c r="I332" i="1"/>
  <c r="AW272" i="1"/>
  <c r="BH272" i="1"/>
  <c r="AB272" i="1" s="1"/>
  <c r="AW124" i="1"/>
  <c r="I124" i="1"/>
  <c r="I123" i="1" s="1"/>
  <c r="BH124" i="1"/>
  <c r="AB124" i="1" s="1"/>
  <c r="AX78" i="1"/>
  <c r="BI78" i="1"/>
  <c r="AC78" i="1" s="1"/>
  <c r="J78" i="1"/>
  <c r="I361" i="1"/>
  <c r="AW361" i="1"/>
  <c r="AV361" i="1" s="1"/>
  <c r="BH361" i="1"/>
  <c r="AB361" i="1" s="1"/>
  <c r="J341" i="1"/>
  <c r="AX341" i="1"/>
  <c r="BC341" i="1" s="1"/>
  <c r="BI341" i="1"/>
  <c r="AC341" i="1" s="1"/>
  <c r="AW317" i="1"/>
  <c r="BH317" i="1"/>
  <c r="AB317" i="1" s="1"/>
  <c r="BI297" i="1"/>
  <c r="AC297" i="1" s="1"/>
  <c r="BI293" i="1"/>
  <c r="AC293" i="1" s="1"/>
  <c r="I261" i="1"/>
  <c r="BH261" i="1"/>
  <c r="AD261" i="1" s="1"/>
  <c r="I241" i="1"/>
  <c r="AW241" i="1"/>
  <c r="BI222" i="1"/>
  <c r="AE222" i="1" s="1"/>
  <c r="AX222" i="1"/>
  <c r="J222" i="1"/>
  <c r="J221" i="1" s="1"/>
  <c r="J135" i="1"/>
  <c r="AX135" i="1"/>
  <c r="BI135" i="1"/>
  <c r="AE135" i="1" s="1"/>
  <c r="AX128" i="1"/>
  <c r="AV128" i="1" s="1"/>
  <c r="BI128" i="1"/>
  <c r="AE128" i="1" s="1"/>
  <c r="J128" i="1"/>
  <c r="I19" i="1"/>
  <c r="AW19" i="1"/>
  <c r="BH19" i="1"/>
  <c r="AB19" i="1" s="1"/>
  <c r="I288" i="1"/>
  <c r="AW288" i="1"/>
  <c r="BH288" i="1"/>
  <c r="AX247" i="1"/>
  <c r="BI247" i="1"/>
  <c r="AE247" i="1" s="1"/>
  <c r="J247" i="1"/>
  <c r="AX384" i="1"/>
  <c r="J384" i="1"/>
  <c r="BI384" i="1"/>
  <c r="AW374" i="1"/>
  <c r="BC374" i="1" s="1"/>
  <c r="BH374" i="1"/>
  <c r="I374" i="1"/>
  <c r="I373" i="1" s="1"/>
  <c r="AV366" i="1"/>
  <c r="AT345" i="1"/>
  <c r="AU345" i="1"/>
  <c r="AX330" i="1"/>
  <c r="J330" i="1"/>
  <c r="I285" i="1"/>
  <c r="AW285" i="1"/>
  <c r="AV285" i="1" s="1"/>
  <c r="BH285" i="1"/>
  <c r="AB285" i="1" s="1"/>
  <c r="BC237" i="1"/>
  <c r="AV237" i="1"/>
  <c r="AX212" i="1"/>
  <c r="BI212" i="1"/>
  <c r="AE212" i="1" s="1"/>
  <c r="J212" i="1"/>
  <c r="J206" i="1" s="1"/>
  <c r="BH394" i="1"/>
  <c r="I394" i="1"/>
  <c r="I386" i="1"/>
  <c r="I392" i="1"/>
  <c r="AW384" i="1"/>
  <c r="AT379" i="1"/>
  <c r="J371" i="1"/>
  <c r="BH366" i="1"/>
  <c r="AB366" i="1" s="1"/>
  <c r="J366" i="1"/>
  <c r="AV354" i="1"/>
  <c r="BH341" i="1"/>
  <c r="AB341" i="1" s="1"/>
  <c r="J339" i="1"/>
  <c r="BH337" i="1"/>
  <c r="AB337" i="1" s="1"/>
  <c r="AW337" i="1"/>
  <c r="AW330" i="1"/>
  <c r="AU306" i="1"/>
  <c r="AT306" i="1"/>
  <c r="AW304" i="1"/>
  <c r="AS290" i="1"/>
  <c r="BC279" i="1"/>
  <c r="I279" i="1"/>
  <c r="AW277" i="1"/>
  <c r="AS271" i="1"/>
  <c r="AW247" i="1"/>
  <c r="BI245" i="1"/>
  <c r="AE245" i="1" s="1"/>
  <c r="AX245" i="1"/>
  <c r="AV245" i="1" s="1"/>
  <c r="BI243" i="1"/>
  <c r="AE243" i="1" s="1"/>
  <c r="AX243" i="1"/>
  <c r="BH237" i="1"/>
  <c r="AD237" i="1" s="1"/>
  <c r="AW222" i="1"/>
  <c r="BH210" i="1"/>
  <c r="AD210" i="1" s="1"/>
  <c r="BI200" i="1"/>
  <c r="AE200" i="1" s="1"/>
  <c r="AW190" i="1"/>
  <c r="BH190" i="1"/>
  <c r="AD190" i="1" s="1"/>
  <c r="I190" i="1"/>
  <c r="I189" i="1" s="1"/>
  <c r="J181" i="1"/>
  <c r="BI181" i="1"/>
  <c r="AE181" i="1" s="1"/>
  <c r="K176" i="1"/>
  <c r="AL177" i="1"/>
  <c r="AU176" i="1" s="1"/>
  <c r="AX174" i="1"/>
  <c r="BC174" i="1" s="1"/>
  <c r="BI174" i="1"/>
  <c r="AE174" i="1" s="1"/>
  <c r="BI162" i="1"/>
  <c r="AE162" i="1" s="1"/>
  <c r="AX162" i="1"/>
  <c r="J60" i="1"/>
  <c r="AX60" i="1"/>
  <c r="AV60" i="1" s="1"/>
  <c r="BI60" i="1"/>
  <c r="AC60" i="1" s="1"/>
  <c r="AU258" i="1"/>
  <c r="J202" i="1"/>
  <c r="J199" i="1" s="1"/>
  <c r="AS199" i="1"/>
  <c r="I183" i="1"/>
  <c r="AW183" i="1"/>
  <c r="BH183" i="1"/>
  <c r="AD183" i="1" s="1"/>
  <c r="AU161" i="1"/>
  <c r="AV145" i="1"/>
  <c r="AX66" i="1"/>
  <c r="BC66" i="1" s="1"/>
  <c r="BI66" i="1"/>
  <c r="AC66" i="1" s="1"/>
  <c r="J66" i="1"/>
  <c r="J55" i="1"/>
  <c r="J52" i="1" s="1"/>
  <c r="AX55" i="1"/>
  <c r="BC22" i="1"/>
  <c r="BH386" i="1"/>
  <c r="BC382" i="1"/>
  <c r="K379" i="1"/>
  <c r="BI366" i="1"/>
  <c r="AC366" i="1" s="1"/>
  <c r="BI343" i="1"/>
  <c r="AC343" i="1" s="1"/>
  <c r="AT290" i="1"/>
  <c r="BI291" i="1"/>
  <c r="AC291" i="1" s="1"/>
  <c r="BI268" i="1"/>
  <c r="AE268" i="1" s="1"/>
  <c r="J258" i="1"/>
  <c r="K221" i="1"/>
  <c r="AL222" i="1"/>
  <c r="AU221" i="1" s="1"/>
  <c r="I202" i="1"/>
  <c r="AW202" i="1"/>
  <c r="BH202" i="1"/>
  <c r="AD202" i="1" s="1"/>
  <c r="AX190" i="1"/>
  <c r="BI190" i="1"/>
  <c r="AE190" i="1" s="1"/>
  <c r="J190" i="1"/>
  <c r="AX179" i="1"/>
  <c r="AV179" i="1" s="1"/>
  <c r="BI179" i="1"/>
  <c r="AE179" i="1" s="1"/>
  <c r="AW143" i="1"/>
  <c r="AV143" i="1" s="1"/>
  <c r="BH143" i="1"/>
  <c r="AD143" i="1" s="1"/>
  <c r="J131" i="1"/>
  <c r="AX131" i="1"/>
  <c r="BI131" i="1"/>
  <c r="AE131" i="1" s="1"/>
  <c r="BI55" i="1"/>
  <c r="AC55" i="1" s="1"/>
  <c r="K15" i="1"/>
  <c r="K173" i="1"/>
  <c r="J151" i="1"/>
  <c r="J143" i="1"/>
  <c r="J101" i="1"/>
  <c r="I82" i="1"/>
  <c r="I33" i="1"/>
  <c r="I32" i="1" s="1"/>
  <c r="J22" i="1"/>
  <c r="J19" i="1"/>
  <c r="AU189" i="1"/>
  <c r="I179" i="1"/>
  <c r="I174" i="1"/>
  <c r="I173" i="1" s="1"/>
  <c r="BI143" i="1"/>
  <c r="AE143" i="1" s="1"/>
  <c r="AW137" i="1"/>
  <c r="I128" i="1"/>
  <c r="BH89" i="1"/>
  <c r="AB89" i="1" s="1"/>
  <c r="AW86" i="1"/>
  <c r="AW82" i="1"/>
  <c r="BH53" i="1"/>
  <c r="AB53" i="1" s="1"/>
  <c r="AW46" i="1"/>
  <c r="AW38" i="1"/>
  <c r="BH33" i="1"/>
  <c r="AB33" i="1" s="1"/>
  <c r="BI28" i="1"/>
  <c r="AC28" i="1" s="1"/>
  <c r="AW25" i="1"/>
  <c r="K24" i="1"/>
  <c r="BI19" i="1"/>
  <c r="AC19" i="1" s="1"/>
  <c r="AW13" i="1"/>
  <c r="J192" i="1"/>
  <c r="K189" i="1"/>
  <c r="BI187" i="1"/>
  <c r="J187" i="1"/>
  <c r="BH179" i="1"/>
  <c r="AD179" i="1" s="1"/>
  <c r="BH174" i="1"/>
  <c r="AD174" i="1" s="1"/>
  <c r="AX164" i="1"/>
  <c r="AX157" i="1"/>
  <c r="BI147" i="1"/>
  <c r="AE147" i="1" s="1"/>
  <c r="J145" i="1"/>
  <c r="BI141" i="1"/>
  <c r="AE141" i="1" s="1"/>
  <c r="BH137" i="1"/>
  <c r="AD137" i="1" s="1"/>
  <c r="BH128" i="1"/>
  <c r="AD128" i="1" s="1"/>
  <c r="AX124" i="1"/>
  <c r="BI117" i="1"/>
  <c r="AC117" i="1" s="1"/>
  <c r="BH86" i="1"/>
  <c r="AB86" i="1" s="1"/>
  <c r="BH46" i="1"/>
  <c r="AB46" i="1" s="1"/>
  <c r="BH38" i="1"/>
  <c r="AB38" i="1" s="1"/>
  <c r="J30" i="1"/>
  <c r="BH28" i="1"/>
  <c r="AB28" i="1" s="1"/>
  <c r="BH25" i="1"/>
  <c r="AB25" i="1" s="1"/>
  <c r="AS24" i="1"/>
  <c r="I16" i="1"/>
  <c r="I15" i="1" s="1"/>
  <c r="BH13" i="1"/>
  <c r="AB13" i="1" s="1"/>
  <c r="AS345" i="1"/>
  <c r="J332" i="1"/>
  <c r="AX332" i="1"/>
  <c r="BI332" i="1"/>
  <c r="AC332" i="1" s="1"/>
  <c r="AX309" i="1"/>
  <c r="J309" i="1"/>
  <c r="BI309" i="1"/>
  <c r="AC309" i="1" s="1"/>
  <c r="AW283" i="1"/>
  <c r="BH283" i="1"/>
  <c r="AB283" i="1" s="1"/>
  <c r="AX277" i="1"/>
  <c r="J277" i="1"/>
  <c r="BI277" i="1"/>
  <c r="AC277" i="1" s="1"/>
  <c r="AW268" i="1"/>
  <c r="BH268" i="1"/>
  <c r="AD268" i="1" s="1"/>
  <c r="J241" i="1"/>
  <c r="AX241" i="1"/>
  <c r="BC241" i="1" s="1"/>
  <c r="BI241" i="1"/>
  <c r="AE241" i="1" s="1"/>
  <c r="AX394" i="1"/>
  <c r="AV394" i="1" s="1"/>
  <c r="AW388" i="1"/>
  <c r="AX386" i="1"/>
  <c r="BC386" i="1" s="1"/>
  <c r="AV382" i="1"/>
  <c r="AW380" i="1"/>
  <c r="AL380" i="1"/>
  <c r="AU379" i="1" s="1"/>
  <c r="BH377" i="1"/>
  <c r="AF377" i="1" s="1"/>
  <c r="C18" i="2" s="1"/>
  <c r="AL377" i="1"/>
  <c r="AU376" i="1" s="1"/>
  <c r="BH357" i="1"/>
  <c r="AB357" i="1" s="1"/>
  <c r="AX357" i="1"/>
  <c r="BC357" i="1" s="1"/>
  <c r="BI354" i="1"/>
  <c r="AC354" i="1" s="1"/>
  <c r="BC354" i="1"/>
  <c r="AX317" i="1"/>
  <c r="J317" i="1"/>
  <c r="BI317" i="1"/>
  <c r="AC317" i="1" s="1"/>
  <c r="AX304" i="1"/>
  <c r="J304" i="1"/>
  <c r="BI304" i="1"/>
  <c r="AC304" i="1" s="1"/>
  <c r="K290" i="1"/>
  <c r="AL291" i="1"/>
  <c r="AU290" i="1" s="1"/>
  <c r="AV279" i="1"/>
  <c r="AW254" i="1"/>
  <c r="BH254" i="1"/>
  <c r="AD254" i="1" s="1"/>
  <c r="BC243" i="1"/>
  <c r="AU224" i="1"/>
  <c r="AV155" i="1"/>
  <c r="BC155" i="1"/>
  <c r="I291" i="1"/>
  <c r="AW291" i="1"/>
  <c r="BH291" i="1"/>
  <c r="AB291" i="1" s="1"/>
  <c r="AL139" i="1"/>
  <c r="AU127" i="1" s="1"/>
  <c r="K127" i="1"/>
  <c r="AX25" i="1"/>
  <c r="BI25" i="1"/>
  <c r="AC25" i="1" s="1"/>
  <c r="J25" i="1"/>
  <c r="AW396" i="1"/>
  <c r="AW377" i="1"/>
  <c r="BI371" i="1"/>
  <c r="AC371" i="1" s="1"/>
  <c r="BI361" i="1"/>
  <c r="AC361" i="1" s="1"/>
  <c r="BC361" i="1"/>
  <c r="AV357" i="1"/>
  <c r="J354" i="1"/>
  <c r="BH351" i="1"/>
  <c r="AB351" i="1" s="1"/>
  <c r="AW351" i="1"/>
  <c r="I348" i="1"/>
  <c r="BH348" i="1"/>
  <c r="AB348" i="1" s="1"/>
  <c r="AW346" i="1"/>
  <c r="I346" i="1"/>
  <c r="I343" i="1"/>
  <c r="AW343" i="1"/>
  <c r="BH343" i="1"/>
  <c r="AB343" i="1" s="1"/>
  <c r="J322" i="1"/>
  <c r="AX322" i="1"/>
  <c r="AX295" i="1"/>
  <c r="BC295" i="1" s="1"/>
  <c r="J295" i="1"/>
  <c r="I293" i="1"/>
  <c r="AW293" i="1"/>
  <c r="BH293" i="1"/>
  <c r="AB293" i="1" s="1"/>
  <c r="J291" i="1"/>
  <c r="AX281" i="1"/>
  <c r="J281" i="1"/>
  <c r="BI281" i="1"/>
  <c r="AC281" i="1" s="1"/>
  <c r="AU271" i="1"/>
  <c r="AV275" i="1"/>
  <c r="I268" i="1"/>
  <c r="I267" i="1" s="1"/>
  <c r="J256" i="1"/>
  <c r="AX256" i="1"/>
  <c r="BI256" i="1"/>
  <c r="AS251" i="1"/>
  <c r="AW297" i="1"/>
  <c r="I297" i="1"/>
  <c r="AS379" i="1"/>
  <c r="I357" i="1"/>
  <c r="K345" i="1"/>
  <c r="I334" i="1"/>
  <c r="AW334" i="1"/>
  <c r="AW322" i="1"/>
  <c r="BH322" i="1"/>
  <c r="AB322" i="1" s="1"/>
  <c r="AW307" i="1"/>
  <c r="I307" i="1"/>
  <c r="J283" i="1"/>
  <c r="AX283" i="1"/>
  <c r="I283" i="1"/>
  <c r="J249" i="1"/>
  <c r="AX249" i="1"/>
  <c r="BI249" i="1"/>
  <c r="I219" i="1"/>
  <c r="AW219" i="1"/>
  <c r="BH219" i="1"/>
  <c r="I204" i="1"/>
  <c r="AW204" i="1"/>
  <c r="BH204" i="1"/>
  <c r="I341" i="1"/>
  <c r="AS306" i="1"/>
  <c r="K306" i="1"/>
  <c r="J272" i="1"/>
  <c r="K271" i="1"/>
  <c r="AX268" i="1"/>
  <c r="AW261" i="1"/>
  <c r="K258" i="1"/>
  <c r="AX254" i="1"/>
  <c r="I249" i="1"/>
  <c r="J239" i="1"/>
  <c r="AX239" i="1"/>
  <c r="J233" i="1"/>
  <c r="AX233" i="1"/>
  <c r="AT176" i="1"/>
  <c r="J171" i="1"/>
  <c r="BI171" i="1"/>
  <c r="AX171" i="1"/>
  <c r="BC171" i="1" s="1"/>
  <c r="I157" i="1"/>
  <c r="BH157" i="1"/>
  <c r="AD157" i="1" s="1"/>
  <c r="AW157" i="1"/>
  <c r="J155" i="1"/>
  <c r="BI155" i="1"/>
  <c r="AE155" i="1" s="1"/>
  <c r="J139" i="1"/>
  <c r="BI139" i="1"/>
  <c r="AE139" i="1" s="1"/>
  <c r="BC89" i="1"/>
  <c r="AV89" i="1"/>
  <c r="AX62" i="1"/>
  <c r="BC62" i="1" s="1"/>
  <c r="BI62" i="1"/>
  <c r="AC62" i="1" s="1"/>
  <c r="J62" i="1"/>
  <c r="AT57" i="1"/>
  <c r="BH332" i="1"/>
  <c r="AB332" i="1" s="1"/>
  <c r="BI330" i="1"/>
  <c r="AC330" i="1" s="1"/>
  <c r="BI324" i="1"/>
  <c r="AC324" i="1" s="1"/>
  <c r="BH311" i="1"/>
  <c r="AB311" i="1" s="1"/>
  <c r="BH309" i="1"/>
  <c r="AB309" i="1" s="1"/>
  <c r="BH304" i="1"/>
  <c r="AB304" i="1" s="1"/>
  <c r="BI285" i="1"/>
  <c r="AC285" i="1" s="1"/>
  <c r="BH279" i="1"/>
  <c r="AB279" i="1" s="1"/>
  <c r="BH277" i="1"/>
  <c r="AB277" i="1" s="1"/>
  <c r="I275" i="1"/>
  <c r="AT271" i="1"/>
  <c r="BI259" i="1"/>
  <c r="AE259" i="1" s="1"/>
  <c r="I259" i="1"/>
  <c r="BH256" i="1"/>
  <c r="BI252" i="1"/>
  <c r="AE252" i="1" s="1"/>
  <c r="J252" i="1"/>
  <c r="K251" i="1"/>
  <c r="BH249" i="1"/>
  <c r="AW239" i="1"/>
  <c r="BH239" i="1"/>
  <c r="AD239" i="1" s="1"/>
  <c r="I233" i="1"/>
  <c r="AW233" i="1"/>
  <c r="BH233" i="1"/>
  <c r="AD233" i="1" s="1"/>
  <c r="AW200" i="1"/>
  <c r="BH200" i="1"/>
  <c r="AD200" i="1" s="1"/>
  <c r="I200" i="1"/>
  <c r="AW181" i="1"/>
  <c r="BH181" i="1"/>
  <c r="AD181" i="1" s="1"/>
  <c r="AX167" i="1"/>
  <c r="J167" i="1"/>
  <c r="BI167" i="1"/>
  <c r="AE167" i="1" s="1"/>
  <c r="I141" i="1"/>
  <c r="BH141" i="1"/>
  <c r="AD141" i="1" s="1"/>
  <c r="AW141" i="1"/>
  <c r="I109" i="1"/>
  <c r="AW109" i="1"/>
  <c r="BH109" i="1"/>
  <c r="AB109" i="1" s="1"/>
  <c r="K267" i="1"/>
  <c r="I251" i="1"/>
  <c r="AT224" i="1"/>
  <c r="I217" i="1"/>
  <c r="AW217" i="1"/>
  <c r="BH217" i="1"/>
  <c r="AD217" i="1" s="1"/>
  <c r="AV207" i="1"/>
  <c r="BC207" i="1"/>
  <c r="K206" i="1"/>
  <c r="AL207" i="1"/>
  <c r="AU206" i="1" s="1"/>
  <c r="BI183" i="1"/>
  <c r="AE183" i="1" s="1"/>
  <c r="AX183" i="1"/>
  <c r="BI149" i="1"/>
  <c r="AE149" i="1" s="1"/>
  <c r="AX149" i="1"/>
  <c r="J149" i="1"/>
  <c r="AS224" i="1"/>
  <c r="AW214" i="1"/>
  <c r="BH214" i="1"/>
  <c r="AD214" i="1" s="1"/>
  <c r="AT206" i="1"/>
  <c r="I207" i="1"/>
  <c r="BH207" i="1"/>
  <c r="AD207" i="1" s="1"/>
  <c r="AU199" i="1"/>
  <c r="AW195" i="1"/>
  <c r="BH195" i="1"/>
  <c r="AD195" i="1" s="1"/>
  <c r="AT189" i="1"/>
  <c r="I185" i="1"/>
  <c r="AW185" i="1"/>
  <c r="BH185" i="1"/>
  <c r="AD185" i="1" s="1"/>
  <c r="I164" i="1"/>
  <c r="AW164" i="1"/>
  <c r="BH164" i="1"/>
  <c r="AD164" i="1" s="1"/>
  <c r="AS161" i="1"/>
  <c r="AX153" i="1"/>
  <c r="J153" i="1"/>
  <c r="BI153" i="1"/>
  <c r="AE153" i="1" s="1"/>
  <c r="AW147" i="1"/>
  <c r="BH147" i="1"/>
  <c r="AD147" i="1" s="1"/>
  <c r="AV139" i="1"/>
  <c r="AX137" i="1"/>
  <c r="J137" i="1"/>
  <c r="BI137" i="1"/>
  <c r="AE137" i="1" s="1"/>
  <c r="AX121" i="1"/>
  <c r="BC121" i="1" s="1"/>
  <c r="J121" i="1"/>
  <c r="BI121" i="1"/>
  <c r="AC121" i="1" s="1"/>
  <c r="I112" i="1"/>
  <c r="AW112" i="1"/>
  <c r="BH112" i="1"/>
  <c r="AB112" i="1" s="1"/>
  <c r="I101" i="1"/>
  <c r="AW101" i="1"/>
  <c r="BH101" i="1"/>
  <c r="AB101" i="1" s="1"/>
  <c r="AX82" i="1"/>
  <c r="J82" i="1"/>
  <c r="BI82" i="1"/>
  <c r="AC82" i="1" s="1"/>
  <c r="AW80" i="1"/>
  <c r="BH80" i="1"/>
  <c r="AB80" i="1" s="1"/>
  <c r="I80" i="1"/>
  <c r="BH241" i="1"/>
  <c r="AD241" i="1" s="1"/>
  <c r="BI237" i="1"/>
  <c r="AE237" i="1" s="1"/>
  <c r="J237" i="1"/>
  <c r="BH235" i="1"/>
  <c r="AD235" i="1" s="1"/>
  <c r="AW235" i="1"/>
  <c r="K224" i="1"/>
  <c r="J162" i="1"/>
  <c r="J161" i="1" s="1"/>
  <c r="I151" i="1"/>
  <c r="AW151" i="1"/>
  <c r="BH151" i="1"/>
  <c r="AD151" i="1" s="1"/>
  <c r="I135" i="1"/>
  <c r="AW135" i="1"/>
  <c r="BH135" i="1"/>
  <c r="AD135" i="1" s="1"/>
  <c r="J133" i="1"/>
  <c r="AS127" i="1"/>
  <c r="AW99" i="1"/>
  <c r="BH99" i="1"/>
  <c r="AB99" i="1" s="1"/>
  <c r="I99" i="1"/>
  <c r="AX200" i="1"/>
  <c r="AW197" i="1"/>
  <c r="AX181" i="1"/>
  <c r="AW162" i="1"/>
  <c r="I155" i="1"/>
  <c r="AX147" i="1"/>
  <c r="AX141" i="1"/>
  <c r="AW133" i="1"/>
  <c r="K123" i="1"/>
  <c r="J117" i="1"/>
  <c r="AX58" i="1"/>
  <c r="J58" i="1"/>
  <c r="BI58" i="1"/>
  <c r="AC58" i="1" s="1"/>
  <c r="AS57" i="1"/>
  <c r="AL41" i="1"/>
  <c r="AU40" i="1" s="1"/>
  <c r="K40" i="1"/>
  <c r="AX38" i="1"/>
  <c r="AV38" i="1" s="1"/>
  <c r="BI38" i="1"/>
  <c r="AC38" i="1" s="1"/>
  <c r="J38" i="1"/>
  <c r="J37" i="1" s="1"/>
  <c r="AX13" i="1"/>
  <c r="BI13" i="1"/>
  <c r="AC13" i="1" s="1"/>
  <c r="J13" i="1"/>
  <c r="J12" i="1" s="1"/>
  <c r="C27" i="2"/>
  <c r="AS12" i="1"/>
  <c r="I131" i="1"/>
  <c r="AT127" i="1"/>
  <c r="AX97" i="1"/>
  <c r="BI97" i="1"/>
  <c r="AC97" i="1" s="1"/>
  <c r="K57" i="1"/>
  <c r="AL60" i="1"/>
  <c r="AU57" i="1" s="1"/>
  <c r="AW55" i="1"/>
  <c r="I55" i="1"/>
  <c r="BH55" i="1"/>
  <c r="AB55" i="1" s="1"/>
  <c r="C20" i="2"/>
  <c r="K199" i="1"/>
  <c r="I171" i="1"/>
  <c r="K161" i="1"/>
  <c r="I139" i="1"/>
  <c r="BH131" i="1"/>
  <c r="AD131" i="1" s="1"/>
  <c r="BI124" i="1"/>
  <c r="AC124" i="1" s="1"/>
  <c r="BI119" i="1"/>
  <c r="AC119" i="1" s="1"/>
  <c r="J99" i="1"/>
  <c r="AX99" i="1"/>
  <c r="AX86" i="1"/>
  <c r="BI86" i="1"/>
  <c r="AC86" i="1" s="1"/>
  <c r="J86" i="1"/>
  <c r="AW70" i="1"/>
  <c r="I70" i="1"/>
  <c r="BH70" i="1"/>
  <c r="AB70" i="1" s="1"/>
  <c r="AL50" i="1"/>
  <c r="AU49" i="1" s="1"/>
  <c r="K49" i="1"/>
  <c r="AX46" i="1"/>
  <c r="BI46" i="1"/>
  <c r="AC46" i="1" s="1"/>
  <c r="J46" i="1"/>
  <c r="J40" i="1" s="1"/>
  <c r="AV16" i="1"/>
  <c r="I24" i="1"/>
  <c r="BH16" i="1"/>
  <c r="AB16" i="1" s="1"/>
  <c r="BC84" i="1"/>
  <c r="AV66" i="1"/>
  <c r="K52" i="1"/>
  <c r="AL55" i="1"/>
  <c r="AU52" i="1" s="1"/>
  <c r="AV53" i="1"/>
  <c r="AT52" i="1"/>
  <c r="BC50" i="1"/>
  <c r="BC41" i="1"/>
  <c r="K32" i="1"/>
  <c r="I22" i="1"/>
  <c r="K18" i="1"/>
  <c r="C19" i="2"/>
  <c r="BC28" i="1"/>
  <c r="BH22" i="1"/>
  <c r="AB22" i="1" s="1"/>
  <c r="AV22" i="1"/>
  <c r="BC16" i="1"/>
  <c r="C28" i="2"/>
  <c r="F28" i="2" s="1"/>
  <c r="C21" i="2"/>
  <c r="AT12" i="1"/>
  <c r="I224" i="1" l="1"/>
  <c r="AV304" i="1"/>
  <c r="AV327" i="1"/>
  <c r="BC309" i="1"/>
  <c r="BC311" i="1"/>
  <c r="BC212" i="1"/>
  <c r="AV86" i="1"/>
  <c r="I18" i="1"/>
  <c r="AV62" i="1"/>
  <c r="AV30" i="1"/>
  <c r="AV58" i="1"/>
  <c r="BC256" i="1"/>
  <c r="BC128" i="1"/>
  <c r="AV241" i="1"/>
  <c r="AV202" i="1"/>
  <c r="AV222" i="1"/>
  <c r="BC390" i="1"/>
  <c r="BC288" i="1"/>
  <c r="AV78" i="1"/>
  <c r="AV309" i="1"/>
  <c r="AV13" i="1"/>
  <c r="AV159" i="1"/>
  <c r="BC82" i="1"/>
  <c r="BC324" i="1"/>
  <c r="AV259" i="1"/>
  <c r="AV177" i="1"/>
  <c r="AV256" i="1"/>
  <c r="BC78" i="1"/>
  <c r="BC143" i="1"/>
  <c r="BC210" i="1"/>
  <c r="BC124" i="1"/>
  <c r="AV212" i="1"/>
  <c r="AV137" i="1"/>
  <c r="AV121" i="1"/>
  <c r="AV153" i="1"/>
  <c r="BC149" i="1"/>
  <c r="AV183" i="1"/>
  <c r="J189" i="1"/>
  <c r="BC25" i="1"/>
  <c r="BC46" i="1"/>
  <c r="AV247" i="1"/>
  <c r="AV288" i="1"/>
  <c r="AV243" i="1"/>
  <c r="BC277" i="1"/>
  <c r="BC304" i="1"/>
  <c r="BC202" i="1"/>
  <c r="BC64" i="1"/>
  <c r="AV119" i="1"/>
  <c r="I176" i="1"/>
  <c r="BC225" i="1"/>
  <c r="BC190" i="1"/>
  <c r="AV341" i="1"/>
  <c r="BC33" i="1"/>
  <c r="BC183" i="1"/>
  <c r="AV324" i="1"/>
  <c r="J176" i="1"/>
  <c r="BC392" i="1"/>
  <c r="BC177" i="1"/>
  <c r="AV398" i="1"/>
  <c r="AV192" i="1"/>
  <c r="BC192" i="1"/>
  <c r="I52" i="1"/>
  <c r="AV97" i="1"/>
  <c r="AV190" i="1"/>
  <c r="BC245" i="1"/>
  <c r="AV277" i="1"/>
  <c r="BC222" i="1"/>
  <c r="J271" i="1"/>
  <c r="BC285" i="1"/>
  <c r="J306" i="1"/>
  <c r="AV82" i="1"/>
  <c r="AV384" i="1"/>
  <c r="BC247" i="1"/>
  <c r="BC398" i="1"/>
  <c r="AV25" i="1"/>
  <c r="I161" i="1"/>
  <c r="AV337" i="1"/>
  <c r="AV46" i="1"/>
  <c r="AV149" i="1"/>
  <c r="BC167" i="1"/>
  <c r="J18" i="1"/>
  <c r="BC330" i="1"/>
  <c r="I379" i="1"/>
  <c r="AV174" i="1"/>
  <c r="J379" i="1"/>
  <c r="BC117" i="1"/>
  <c r="AV117" i="1"/>
  <c r="BC137" i="1"/>
  <c r="I206" i="1"/>
  <c r="I258" i="1"/>
  <c r="BC153" i="1"/>
  <c r="BC337" i="1"/>
  <c r="J290" i="1"/>
  <c r="AV374" i="1"/>
  <c r="BC131" i="1"/>
  <c r="AV131" i="1"/>
  <c r="AV272" i="1"/>
  <c r="BC272" i="1"/>
  <c r="AV348" i="1"/>
  <c r="I127" i="1"/>
  <c r="J345" i="1"/>
  <c r="J24" i="1"/>
  <c r="BC179" i="1"/>
  <c r="AV19" i="1"/>
  <c r="BC19" i="1"/>
  <c r="AV124" i="1"/>
  <c r="C17" i="2"/>
  <c r="C14" i="2"/>
  <c r="BC60" i="1"/>
  <c r="I57" i="1"/>
  <c r="J127" i="1"/>
  <c r="C16" i="2"/>
  <c r="I271" i="1"/>
  <c r="BC58" i="1"/>
  <c r="AV330" i="1"/>
  <c r="BC384" i="1"/>
  <c r="BC70" i="1"/>
  <c r="AV70" i="1"/>
  <c r="BC13" i="1"/>
  <c r="AV99" i="1"/>
  <c r="BC99" i="1"/>
  <c r="AV141" i="1"/>
  <c r="BC141" i="1"/>
  <c r="AV200" i="1"/>
  <c r="BC200" i="1"/>
  <c r="BC55" i="1"/>
  <c r="AV55" i="1"/>
  <c r="BC86" i="1"/>
  <c r="J57" i="1"/>
  <c r="C15" i="2"/>
  <c r="AV133" i="1"/>
  <c r="BC133" i="1"/>
  <c r="AV162" i="1"/>
  <c r="BC162" i="1"/>
  <c r="BC235" i="1"/>
  <c r="AV235" i="1"/>
  <c r="AV101" i="1"/>
  <c r="BC101" i="1"/>
  <c r="BC185" i="1"/>
  <c r="AV185" i="1"/>
  <c r="AV171" i="1"/>
  <c r="AV233" i="1"/>
  <c r="BC233" i="1"/>
  <c r="AV157" i="1"/>
  <c r="BC157" i="1"/>
  <c r="AV167" i="1"/>
  <c r="AV261" i="1"/>
  <c r="BC261" i="1"/>
  <c r="BC204" i="1"/>
  <c r="AV204" i="1"/>
  <c r="AV307" i="1"/>
  <c r="BC307" i="1"/>
  <c r="AV322" i="1"/>
  <c r="BC322" i="1"/>
  <c r="I345" i="1"/>
  <c r="BC351" i="1"/>
  <c r="AV351" i="1"/>
  <c r="BC396" i="1"/>
  <c r="AV396" i="1"/>
  <c r="I290" i="1"/>
  <c r="BC317" i="1"/>
  <c r="AV317" i="1"/>
  <c r="BC380" i="1"/>
  <c r="AV380" i="1"/>
  <c r="AV268" i="1"/>
  <c r="BC268" i="1"/>
  <c r="AV386" i="1"/>
  <c r="BC346" i="1"/>
  <c r="AV346" i="1"/>
  <c r="AV254" i="1"/>
  <c r="BC254" i="1"/>
  <c r="BC394" i="1"/>
  <c r="BC151" i="1"/>
  <c r="AV151" i="1"/>
  <c r="BC38" i="1"/>
  <c r="BC97" i="1"/>
  <c r="BC195" i="1"/>
  <c r="AV195" i="1"/>
  <c r="AV181" i="1"/>
  <c r="BC181" i="1"/>
  <c r="J251" i="1"/>
  <c r="J224" i="1"/>
  <c r="AV297" i="1"/>
  <c r="BC297" i="1"/>
  <c r="BC293" i="1"/>
  <c r="AV293" i="1"/>
  <c r="AV343" i="1"/>
  <c r="BC343" i="1"/>
  <c r="AV295" i="1"/>
  <c r="BC332" i="1"/>
  <c r="AV332" i="1"/>
  <c r="BC80" i="1"/>
  <c r="AV80" i="1"/>
  <c r="BC164" i="1"/>
  <c r="AV164" i="1"/>
  <c r="AV283" i="1"/>
  <c r="BC283" i="1"/>
  <c r="C29" i="2"/>
  <c r="F29" i="2" s="1"/>
  <c r="AV197" i="1"/>
  <c r="BC197" i="1"/>
  <c r="BC135" i="1"/>
  <c r="AV135" i="1"/>
  <c r="BC112" i="1"/>
  <c r="AV112" i="1"/>
  <c r="BC147" i="1"/>
  <c r="AV147" i="1"/>
  <c r="BC214" i="1"/>
  <c r="AV214" i="1"/>
  <c r="AV217" i="1"/>
  <c r="BC217" i="1"/>
  <c r="BC109" i="1"/>
  <c r="AV109" i="1"/>
  <c r="I199" i="1"/>
  <c r="AV239" i="1"/>
  <c r="BC239" i="1"/>
  <c r="BC219" i="1"/>
  <c r="AV219" i="1"/>
  <c r="AV249" i="1"/>
  <c r="BC249" i="1"/>
  <c r="I306" i="1"/>
  <c r="AV334" i="1"/>
  <c r="BC334" i="1"/>
  <c r="BC281" i="1"/>
  <c r="AV281" i="1"/>
  <c r="AV377" i="1"/>
  <c r="BC377" i="1"/>
  <c r="AV291" i="1"/>
  <c r="BC291" i="1"/>
  <c r="BC388" i="1"/>
  <c r="AV388" i="1"/>
  <c r="C22" i="2" l="1"/>
  <c r="I28" i="2"/>
  <c r="I29" i="2" s="1"/>
</calcChain>
</file>

<file path=xl/sharedStrings.xml><?xml version="1.0" encoding="utf-8"?>
<sst xmlns="http://schemas.openxmlformats.org/spreadsheetml/2006/main" count="1738" uniqueCount="798">
  <si>
    <t>Slepý 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</si>
  <si>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</si>
  <si>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</si>
  <si>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</si>
  <si>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</si>
  <si>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</si>
  <si>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</si>
  <si>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</si>
  <si>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</si>
  <si>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</si>
  <si>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</si>
  <si>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</si>
  <si>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</si>
  <si>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</si>
  <si>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</si>
  <si>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</si>
  <si>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</si>
  <si>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</si>
  <si>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</si>
  <si>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</si>
  <si>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</si>
  <si>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</si>
  <si>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</si>
  <si>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</si>
  <si>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</si>
  <si>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</si>
  <si>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</si>
  <si>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</si>
  <si>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</si>
  <si>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</si>
  <si>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</si>
  <si>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</si>
  <si>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</si>
  <si>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</si>
  <si>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</si>
  <si>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</si>
  <si>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</si>
  <si>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</si>
  <si>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</si>
  <si>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</si>
  <si>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</si>
  <si>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</si>
  <si>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</si>
  <si>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</si>
  <si>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</si>
  <si>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</si>
  <si>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</si>
  <si>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</si>
  <si>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</si>
  <si>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</si>
  <si>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</si>
  <si>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</si>
  <si>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</si>
  <si>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</si>
  <si>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</si>
  <si>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</si>
  <si>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</si>
  <si>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</si>
  <si>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</si>
  <si>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</si>
  <si>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</si>
  <si>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</si>
  <si>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</si>
  <si>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</si>
  <si>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</si>
  <si>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</si>
  <si>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</si>
  <si>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</si>
  <si>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</si>
  <si>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</si>
  <si>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</si>
  <si>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</si>
  <si>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</si>
  <si>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</si>
  <si>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</si>
  <si>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</si>
  <si>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</si>
  <si>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</si>
  <si>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</si>
  <si>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</si>
  <si>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</si>
  <si>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</si>
  <si>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</si>
  <si>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</si>
  <si>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</si>
  <si>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</si>
  <si>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</si>
  <si>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</si>
  <si>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</si>
  <si>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</si>
  <si>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</si>
  <si>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</si>
  <si>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</si>
  <si>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</si>
  <si>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</si>
  <si>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</si>
  <si>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</si>
  <si>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</si>
  <si>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</si>
  <si>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</si>
  <si>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</si>
  <si>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</si>
  <si>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</si>
  <si>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</si>
  <si>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</si>
  <si>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</si>
  <si>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</si>
  <si>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</si>
  <si>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</si>
  <si>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</si>
  <si>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</si>
  <si>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</si>
  <si>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</si>
  <si>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</si>
  <si>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</si>
  <si>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</si>
  <si>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</si>
  <si>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</si>
  <si>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</si>
  <si>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</si>
  <si>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</si>
  <si>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</si>
  <si>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</si>
  <si>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</si>
  <si>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</si>
  <si>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</si>
  <si>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</si>
  <si>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</si>
  <si>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</si>
  <si>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</si>
  <si>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</si>
  <si>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</si>
  <si>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</si>
  <si>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</si>
  <si>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</si>
  <si>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</si>
  <si>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</si>
  <si>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</si>
  <si>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</si>
  <si>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</si>
  <si>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</si>
  <si>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</si>
  <si>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</si>
  <si>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</si>
  <si>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</si>
  <si>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</si>
  <si>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Poznámka:</t>
  </si>
  <si>
    <t>Kód</t>
  </si>
  <si>
    <t>100001500R00</t>
  </si>
  <si>
    <t>139600013RA0</t>
  </si>
  <si>
    <t>167101101R00</t>
  </si>
  <si>
    <t>162701105R00</t>
  </si>
  <si>
    <t>174101101R00</t>
  </si>
  <si>
    <t>171201201R00</t>
  </si>
  <si>
    <t>199000002R00</t>
  </si>
  <si>
    <t>202110015VD</t>
  </si>
  <si>
    <t>278381541R00</t>
  </si>
  <si>
    <t>342264051RT1</t>
  </si>
  <si>
    <t>954312305R00</t>
  </si>
  <si>
    <t>596100030RA0</t>
  </si>
  <si>
    <t>612100020RA0</t>
  </si>
  <si>
    <t>612425931R00</t>
  </si>
  <si>
    <t>622421493R00</t>
  </si>
  <si>
    <t>622311524RV1</t>
  </si>
  <si>
    <t>622311734RT3</t>
  </si>
  <si>
    <t>622311134RT3</t>
  </si>
  <si>
    <t>622311353RT3</t>
  </si>
  <si>
    <t>622311563R00</t>
  </si>
  <si>
    <t>622481113R00</t>
  </si>
  <si>
    <t>620991121R00</t>
  </si>
  <si>
    <t>622432111R00</t>
  </si>
  <si>
    <t>622481292R00</t>
  </si>
  <si>
    <t>28350203</t>
  </si>
  <si>
    <t>28350107.A</t>
  </si>
  <si>
    <t>622481291R00</t>
  </si>
  <si>
    <t>55392762</t>
  </si>
  <si>
    <t>622473187RT2</t>
  </si>
  <si>
    <t>622904112R00</t>
  </si>
  <si>
    <t>622401937R00</t>
  </si>
  <si>
    <t>622429991R00</t>
  </si>
  <si>
    <t>622311014R00</t>
  </si>
  <si>
    <t>648952421RT3</t>
  </si>
  <si>
    <t>712</t>
  </si>
  <si>
    <t>712300831R00</t>
  </si>
  <si>
    <t>712300832R00</t>
  </si>
  <si>
    <t>764291410R00</t>
  </si>
  <si>
    <t>712378006R00</t>
  </si>
  <si>
    <t>712378007R00</t>
  </si>
  <si>
    <t>711823129R00</t>
  </si>
  <si>
    <t>58556701.A</t>
  </si>
  <si>
    <t>712378101RT4</t>
  </si>
  <si>
    <t>712110011VD</t>
  </si>
  <si>
    <t>712351111R00</t>
  </si>
  <si>
    <t>62852269</t>
  </si>
  <si>
    <t>712391171R00</t>
  </si>
  <si>
    <t>69366198</t>
  </si>
  <si>
    <t>712472101R00</t>
  </si>
  <si>
    <t>283220012</t>
  </si>
  <si>
    <t>998712102R00</t>
  </si>
  <si>
    <t>713</t>
  </si>
  <si>
    <t>713104222R00</t>
  </si>
  <si>
    <t>713141312R00</t>
  </si>
  <si>
    <t>28375769.A</t>
  </si>
  <si>
    <t>998713102R00</t>
  </si>
  <si>
    <t>721</t>
  </si>
  <si>
    <t>721210823R00</t>
  </si>
  <si>
    <t>728</t>
  </si>
  <si>
    <t>728415816R00</t>
  </si>
  <si>
    <t>728618811R00</t>
  </si>
  <si>
    <t>728618215R00</t>
  </si>
  <si>
    <t>728314111R00</t>
  </si>
  <si>
    <t>553432903</t>
  </si>
  <si>
    <t>998728102R00</t>
  </si>
  <si>
    <t>762</t>
  </si>
  <si>
    <t>762510010RAI</t>
  </si>
  <si>
    <t>60725016</t>
  </si>
  <si>
    <t>762526110RT3</t>
  </si>
  <si>
    <t>998762102R00</t>
  </si>
  <si>
    <t>763</t>
  </si>
  <si>
    <t>763613212R00</t>
  </si>
  <si>
    <t>606233006</t>
  </si>
  <si>
    <t>998763101R00</t>
  </si>
  <si>
    <t>764</t>
  </si>
  <si>
    <t>764900050RA0</t>
  </si>
  <si>
    <t>764321820R00</t>
  </si>
  <si>
    <t>764311831R00</t>
  </si>
  <si>
    <t>764410310RAB</t>
  </si>
  <si>
    <t>764211401R00</t>
  </si>
  <si>
    <t>998764102R00</t>
  </si>
  <si>
    <t>765</t>
  </si>
  <si>
    <t>765321810R00</t>
  </si>
  <si>
    <t>766</t>
  </si>
  <si>
    <t>766629310R00</t>
  </si>
  <si>
    <t>611110013VD</t>
  </si>
  <si>
    <t>611110014VD</t>
  </si>
  <si>
    <t>611110015VD</t>
  </si>
  <si>
    <t>611110016VD</t>
  </si>
  <si>
    <t>611110017VD</t>
  </si>
  <si>
    <t>611110018VD</t>
  </si>
  <si>
    <t>611110019VD</t>
  </si>
  <si>
    <t>611110020VD</t>
  </si>
  <si>
    <t>998766102R00</t>
  </si>
  <si>
    <t>767</t>
  </si>
  <si>
    <t>767995114VD</t>
  </si>
  <si>
    <t>001111130VD</t>
  </si>
  <si>
    <t>998767102R00</t>
  </si>
  <si>
    <t>784</t>
  </si>
  <si>
    <t>784433271R00</t>
  </si>
  <si>
    <t>784442021RT2</t>
  </si>
  <si>
    <t>786</t>
  </si>
  <si>
    <t>786221100VD</t>
  </si>
  <si>
    <t>941941042R00</t>
  </si>
  <si>
    <t>941941292R00</t>
  </si>
  <si>
    <t>941941842R00</t>
  </si>
  <si>
    <t>944944011R00</t>
  </si>
  <si>
    <t>944944031R00</t>
  </si>
  <si>
    <t>944944081R00</t>
  </si>
  <si>
    <t>941955001R00</t>
  </si>
  <si>
    <t>998009101R00</t>
  </si>
  <si>
    <t>952901411R00</t>
  </si>
  <si>
    <t>952901110R00</t>
  </si>
  <si>
    <t>952900001VD</t>
  </si>
  <si>
    <t>952900002VD</t>
  </si>
  <si>
    <t>965042131RT2</t>
  </si>
  <si>
    <t>962200041RA0</t>
  </si>
  <si>
    <t>968061112R00</t>
  </si>
  <si>
    <t>968061113R00</t>
  </si>
  <si>
    <t>968062245R00</t>
  </si>
  <si>
    <t>968062247R00</t>
  </si>
  <si>
    <t>968062246R00</t>
  </si>
  <si>
    <t>968071126R00</t>
  </si>
  <si>
    <t>968071112R00</t>
  </si>
  <si>
    <t>968072456R00</t>
  </si>
  <si>
    <t>968071113R00</t>
  </si>
  <si>
    <t>968071125R00</t>
  </si>
  <si>
    <t>968111119VD</t>
  </si>
  <si>
    <t>968095002R00</t>
  </si>
  <si>
    <t>978059631R00</t>
  </si>
  <si>
    <t>971033341R00</t>
  </si>
  <si>
    <t>971033331R00</t>
  </si>
  <si>
    <t>972055341R00</t>
  </si>
  <si>
    <t>970251300R00</t>
  </si>
  <si>
    <t>970231150R00</t>
  </si>
  <si>
    <t>970231200R00</t>
  </si>
  <si>
    <t>972054691R00</t>
  </si>
  <si>
    <t>H99</t>
  </si>
  <si>
    <t>999281108R00</t>
  </si>
  <si>
    <t>M46</t>
  </si>
  <si>
    <t>460620006RT1</t>
  </si>
  <si>
    <t>S</t>
  </si>
  <si>
    <t>979011111R00</t>
  </si>
  <si>
    <t>979082111R00</t>
  </si>
  <si>
    <t>979082212R00</t>
  </si>
  <si>
    <t>979087113R00</t>
  </si>
  <si>
    <t>979081111R00</t>
  </si>
  <si>
    <t>979081121R00</t>
  </si>
  <si>
    <t>979990121R00</t>
  </si>
  <si>
    <t>979990144R00</t>
  </si>
  <si>
    <t>979990201R00</t>
  </si>
  <si>
    <t>979990001R00</t>
  </si>
  <si>
    <t>SNÍŽENÍ ENERGETICKÉ NÁROČNOSTI BUDOVY 3. ZÁKLADNÍ ŠKOLY, CHEB</t>
  </si>
  <si>
    <t>Objekt 1 - učebny 1. stupeň</t>
  </si>
  <si>
    <t>Malé Náměstí 2287/3, 350 02 Cheb</t>
  </si>
  <si>
    <t>Zkrácený popis</t>
  </si>
  <si>
    <t>Rozměry</t>
  </si>
  <si>
    <t>Zemní práce</t>
  </si>
  <si>
    <t>Dočištění stěny</t>
  </si>
  <si>
    <t>35,1;viz zateplení pod terénem;   </t>
  </si>
  <si>
    <t>Hloubené vykopávky</t>
  </si>
  <si>
    <t xml:space="preserve">Ruční odkopání kolem objektu		</t>
  </si>
  <si>
    <t>(7+30+28+32+4+16)*0,5*0,3;odkop zeminy;   </t>
  </si>
  <si>
    <t>Přemístění výkopku</t>
  </si>
  <si>
    <t>Nakládání výkopku z hor.1-4 v množství do 100 m3</t>
  </si>
  <si>
    <t>17,55;viz odkop;   </t>
  </si>
  <si>
    <t>-12,636;viz zásyp;   </t>
  </si>
  <si>
    <t>Vodorovné přemístění výkopku z hor.1-4 do 10000 m</t>
  </si>
  <si>
    <t>4,914;viz nakládání;   </t>
  </si>
  <si>
    <t>Konstrukce ze zemin</t>
  </si>
  <si>
    <t>Zásyp jam, rýh, šachet se zhutněním</t>
  </si>
  <si>
    <t>17,55   </t>
  </si>
  <si>
    <t>-(7+30+28+32+4+16)*0,14*0,3;zásyp;   </t>
  </si>
  <si>
    <t>Uložení sypaniny na skládku</t>
  </si>
  <si>
    <t>Poplatek za skládku</t>
  </si>
  <si>
    <t>4,914;viz uložení;   </t>
  </si>
  <si>
    <t>Manipulace s nábytkem</t>
  </si>
  <si>
    <t>Manipulace s nábytkem včetně zpětného osazení po úklidu prostor</t>
  </si>
  <si>
    <t>1;nábytek;   </t>
  </si>
  <si>
    <t>Základy</t>
  </si>
  <si>
    <t>Základy pod stroje do 5 m3, C 20/25, složitosti 1</t>
  </si>
  <si>
    <t>1,805*2,76*0,5*2;pro základ VZT v RZP;   </t>
  </si>
  <si>
    <t>Stěny a příčky</t>
  </si>
  <si>
    <t>Podhled sádrokartonový na zavěšenou ocel. konstr.desky standard tl. 12,5 mm, bez izolace</t>
  </si>
  <si>
    <t>19,1;104;   </t>
  </si>
  <si>
    <t>19,1;118;   </t>
  </si>
  <si>
    <t>19,1;204;   </t>
  </si>
  <si>
    <t>19,1;218;   </t>
  </si>
  <si>
    <t>8,7+9+9+9;1np;   </t>
  </si>
  <si>
    <t>8,7+9+9+9;2np;   </t>
  </si>
  <si>
    <t>Kryty pozemních komunikací, letišť a ploch dlážděných (předlažby)</t>
  </si>
  <si>
    <t>Chodník z dlažby betonové, podklad štěrkodrť</t>
  </si>
  <si>
    <t>(30+18+8,5+32,5+9+6+5+4,5)*0,6;OCH;   </t>
  </si>
  <si>
    <t>Úprava povrchů vnitřní</t>
  </si>
  <si>
    <t>Začištění omítek kolem oken a dveří</t>
  </si>
  <si>
    <t>387,41;viz APU lišta;   </t>
  </si>
  <si>
    <t>Omítka vápenná vnitřního ostění - štuková</t>
  </si>
  <si>
    <t>381,41*0,5;omítka vnitřního ostění;   </t>
  </si>
  <si>
    <t>Úprava povrchů vnější</t>
  </si>
  <si>
    <t>Doplňky zatepl. systémů, dilatační lišta s tkan.</t>
  </si>
  <si>
    <t>8,5*2;SP;   </t>
  </si>
  <si>
    <t xml:space="preserve">Zateplovací systém, sokl, XPS tl. 140 mm bez omítky - pod terénem		</t>
  </si>
  <si>
    <t>(7+30+28+32+4+16)*0,3;1;   </t>
  </si>
  <si>
    <t xml:space="preserve">Zateplovací systém, sokl, XPS tl. 140 mm zakončený stěrkou s výztužnou tkaninou - nad terénem		</t>
  </si>
  <si>
    <t>(7+30+28+32+4+16)*0,5;1;   </t>
  </si>
  <si>
    <t>Zatepl.syst., fasáda, miner.desky tl. 140 mm s omítkou Silikon probarvená., zrno 2mm</t>
  </si>
  <si>
    <t>(7+30+28+32+4+16)*1;1;   omítka probarvená zrnitost 2mm, cenu určit za odstín s příplatkem 1</t>
  </si>
  <si>
    <t>Zateplovací systém, fasáda, EPS F tl.140 mm s omítkou Silikon probarvená., zrno 2mm</t>
  </si>
  <si>
    <t>(7+30+28+32+4+16)*7,1;1;   omítka probarvená zrnitost 2mm, cenu určit za odstín s příplatkem 1</t>
  </si>
  <si>
    <t>-(2,4*2,4*18+2,4*2,1*18+1,5*2,4*9+1,5*2,1*7+1,6*2,05+1,5*5,6+1,3*1,7)   </t>
  </si>
  <si>
    <t>;odečet výplní otvorů;   </t>
  </si>
  <si>
    <t>Zatepl.systém, ostění a nadpraží, EPS tl. 30 mm probarvená., zrno 2mm</t>
  </si>
  <si>
    <t>(1,5+6*2)*0,3;S3;   omítka probarvená zrnitost 2mm, cenu určit za odstín s příplatkem 1</t>
  </si>
  <si>
    <t>(1,5+*2,4*2)*(11+2+2)*0,3;O6;   </t>
  </si>
  <si>
    <t>(2,4+2,1*2)*1*0,3;O12;   </t>
  </si>
  <si>
    <t>(1,5+2,1*2)*1*0,3;O13;   </t>
  </si>
  <si>
    <t>(1,2+2,905*2)*1*0,3;D3;   </t>
  </si>
  <si>
    <t>(1,6+3,25*2)*1*0,3;D4;   </t>
  </si>
  <si>
    <t>2,4*3*0,3*(18+16+1);O4;   </t>
  </si>
  <si>
    <t>Zateplovací systém, parapet, XPS tl. 30 mm</t>
  </si>
  <si>
    <t>110,4*0,3;viz oplechování parapetů;   </t>
  </si>
  <si>
    <t xml:space="preserve">Potažení vnějších stěn sklotex. pletivem, vypnutí - od soklu do výšky 2m		</t>
  </si>
  <si>
    <t>(7+30+28+32+4+16)*2;1;   </t>
  </si>
  <si>
    <t>Zakrývání výplní vnějších otvorů z lešení</t>
  </si>
  <si>
    <t>281,476;viz montáž výplní otvorů;   </t>
  </si>
  <si>
    <t xml:space="preserve">Omítka stěn marmolit		</t>
  </si>
  <si>
    <t>58,5;viz zateplení soklu;   </t>
  </si>
  <si>
    <t>Montáž výztužné lišty okenní a podparapetní</t>
  </si>
  <si>
    <t>114,7;viz lišta okenní;   </t>
  </si>
  <si>
    <t>110,4;viz profil pod parapet;   </t>
  </si>
  <si>
    <t>Lišta okenní s tkaninou</t>
  </si>
  <si>
    <t>1,5;S3;   </t>
  </si>
  <si>
    <t>2,4*(18+16+1);O4;   </t>
  </si>
  <si>
    <t>1,5*(11+2+2);O6;   </t>
  </si>
  <si>
    <t>2,4*1;O12;   </t>
  </si>
  <si>
    <t>1,5*1;O13;   </t>
  </si>
  <si>
    <t>1,2*1;D3;   </t>
  </si>
  <si>
    <t>1,6*1;D4;   </t>
  </si>
  <si>
    <t>Profil okenní pod parapet vč. lep. pásky</t>
  </si>
  <si>
    <t>110,4;viz oplechování parapetů;   </t>
  </si>
  <si>
    <t>Montáž výztužné lišty rohové</t>
  </si>
  <si>
    <t>272,71;viz lišta rohová;   </t>
  </si>
  <si>
    <t>Lišta rohová s tkaninou</t>
  </si>
  <si>
    <t>6*2;S3;   </t>
  </si>
  <si>
    <t>2,4*(18+16+1)*2;O4;   </t>
  </si>
  <si>
    <t>2,4*(11+2+2)*2;O6;   </t>
  </si>
  <si>
    <t>2,1*1*2;O12;   </t>
  </si>
  <si>
    <t>2,1*1*2;O13;   </t>
  </si>
  <si>
    <t>2,905*1*2;D3;   </t>
  </si>
  <si>
    <t>3,25*1*2;D4;   </t>
  </si>
  <si>
    <t>Příplatek za okenní lištu (APU) - montáž, včetně dodávky lišty</t>
  </si>
  <si>
    <t>114,7;viz okenní lišta;   </t>
  </si>
  <si>
    <t>272,71;viz rohová lišta;   </t>
  </si>
  <si>
    <t>Očištění fasád tlakovou vodou</t>
  </si>
  <si>
    <t>58,5;viz zateplení soklu nad terénem;		   </t>
  </si>
  <si>
    <t>117;viz zateplení miner.;   </t>
  </si>
  <si>
    <t>87,873;viz ostění;   </t>
  </si>
  <si>
    <t>567,96;viz zateplení EPS;   </t>
  </si>
  <si>
    <t>Příplatek za styk 2 odstínů tenkovrstvých omítek</t>
  </si>
  <si>
    <t>(28+3,6+12+3,6+27+3,6+8+3,6)*2;omítka;   </t>
  </si>
  <si>
    <t>Příplatek k položkám za 1. barvu</t>
  </si>
  <si>
    <t>772,833;viz očištění fasád;   </t>
  </si>
  <si>
    <t>Zakládací lišta hliník KZS tl. 140 mm</t>
  </si>
  <si>
    <t>(7+30+28+32+4+16);lišta zatepl. nad terénem;   </t>
  </si>
  <si>
    <t>Výplně otvorů</t>
  </si>
  <si>
    <t>Osazení parapetních desek dřevěných včetně dodávky parapetní desky</t>
  </si>
  <si>
    <t>110,4;viz demontáž;   </t>
  </si>
  <si>
    <t>110,4*0,05;prořez;   </t>
  </si>
  <si>
    <t>Izolace střech (živičné krytiny)</t>
  </si>
  <si>
    <t>Odstranění povlakové krytiny střech do 10° 1vrstvé - fólie</t>
  </si>
  <si>
    <t>39*27;B30;   </t>
  </si>
  <si>
    <t>(39+27+32+8+6+8+4)*0,5;B30-atika;   </t>
  </si>
  <si>
    <t>Odstranění povlakové krytiny střech do 10° 2vrstvé - asf. pásy</t>
  </si>
  <si>
    <t>1115;viz odstranění fólie B30;   </t>
  </si>
  <si>
    <t>124;K3 viz B20;   </t>
  </si>
  <si>
    <t>124*2;K3 viz B20;   </t>
  </si>
  <si>
    <t>Montáž ukončovacího profilu</t>
  </si>
  <si>
    <t>Profil ukončovací</t>
  </si>
  <si>
    <t>124;viz montáž;   </t>
  </si>
  <si>
    <t>Komínek odvětrání kanalizace s manžetou z PVC</t>
  </si>
  <si>
    <t>9;K6;   </t>
  </si>
  <si>
    <t>Dodávka a osazení střešní vpusti</t>
  </si>
  <si>
    <t>4;K5;   </t>
  </si>
  <si>
    <t>Povlaková krytina střech do 10°,samolepicím pásem</t>
  </si>
  <si>
    <t>1115;viz odstranění;   </t>
  </si>
  <si>
    <t>1115*1,05;prořez;   </t>
  </si>
  <si>
    <t>Povlaková krytina střech do 10°, podklad. textilie</t>
  </si>
  <si>
    <t>Mont.povlakové krytiny střech do 30°fólií kotvením</t>
  </si>
  <si>
    <t>Přesun hmot pro povlakové krytiny, výšky do 12 m</t>
  </si>
  <si>
    <t>7,32256;viz hmotnost;   </t>
  </si>
  <si>
    <t>Izolace tepelné</t>
  </si>
  <si>
    <t>Odstr.tep.izol.střech pl,kotv,minerál tl.100-200mm</t>
  </si>
  <si>
    <t>1053;viz střecha;   </t>
  </si>
  <si>
    <t>Izolace tepelná střech do tl.160 mm,1vrstva,kotvy</t>
  </si>
  <si>
    <t>39*27;SCH1;   </t>
  </si>
  <si>
    <t>(39+27+32+8+6+8+4)*0,5;SCH1-atika;   </t>
  </si>
  <si>
    <t>Deska izolační polystyrén samozhášivý EPS 200</t>
  </si>
  <si>
    <t>39*27*0,24;SCH1;   </t>
  </si>
  <si>
    <t>(39+27+32+8+6+8+4)*0,5*0,08;SCH1-atika;   </t>
  </si>
  <si>
    <t>257,68*0,02;prořez;   </t>
  </si>
  <si>
    <t>Přesun hmot pro izolace tepelné, výšky do 12 m</t>
  </si>
  <si>
    <t>7,88501;viz hmotnost;   </t>
  </si>
  <si>
    <t>Vnitřní kanalizace</t>
  </si>
  <si>
    <t>Demontáž střešní vpusti</t>
  </si>
  <si>
    <t>4;B23;   </t>
  </si>
  <si>
    <t>Vzduchotechnika</t>
  </si>
  <si>
    <t>Demontáž mřížky větrací nebo ventilač. do d 100 mm</t>
  </si>
  <si>
    <t>3+12+15+13+2+8;B7;   </t>
  </si>
  <si>
    <t>Demontáž ventilační turbíny včetně oplechování</t>
  </si>
  <si>
    <t>2;B24;   </t>
  </si>
  <si>
    <t>Ventilační turbína včetně oplechování konstrukce</t>
  </si>
  <si>
    <t>2;K7;   </t>
  </si>
  <si>
    <t>Montáž protidešť. žaluzie čtyřhranné do 0,15 m2</t>
  </si>
  <si>
    <t>53;M1;   </t>
  </si>
  <si>
    <t>Mřížka protidešťová</t>
  </si>
  <si>
    <t>Přesun hmot pro vzduchotechniku, výšky do 12 m</t>
  </si>
  <si>
    <t>0,02778;viz hmotnost;   </t>
  </si>
  <si>
    <t>Konstrukce tesařské</t>
  </si>
  <si>
    <t>Podlaha z desek dřevotřískových přibíjená</t>
  </si>
  <si>
    <t>Deska dřevoštěpková OSB 3 N tl. 22 mm</t>
  </si>
  <si>
    <t>1053*0,08;prořez;   </t>
  </si>
  <si>
    <t>Položení polštářů pod podlahy rozteče do 65 cm, včetně dodávky řeziva</t>
  </si>
  <si>
    <t>1137,24;viz OSB desky;   </t>
  </si>
  <si>
    <t>Přesun hmot pro tesařské konstrukce, výšky do 12 m</t>
  </si>
  <si>
    <t>21,64463;viz hmotnost;   </t>
  </si>
  <si>
    <t>Dřevostavby</t>
  </si>
  <si>
    <t>M.záklopu desek nad tl.18 mm</t>
  </si>
  <si>
    <t>136,4*0,5;délka viz záv. lišta;   </t>
  </si>
  <si>
    <t>Překližka vodovzdorná bříza tl. 21 mm jak. S/BB</t>
  </si>
  <si>
    <t>68,2*1,1;viz montáž krát ztratné;   </t>
  </si>
  <si>
    <t>Přesun hmot pro dřevostavby, výšky do 12 m</t>
  </si>
  <si>
    <t>1,10552;viz hmotnost;   </t>
  </si>
  <si>
    <t>Konstrukce klempířské</t>
  </si>
  <si>
    <t>Demontáž oplechování parapetů</t>
  </si>
  <si>
    <t>2,4*(18+16+1+1);B9;   </t>
  </si>
  <si>
    <t>1,5*(11+2+2+1);B11;   </t>
  </si>
  <si>
    <t>Demontáž oplechování atiky, rš 500 mm, do 30°</t>
  </si>
  <si>
    <t>39+27+32+8+6+8+4;B20;   </t>
  </si>
  <si>
    <t>Demontáž oplechování štěrbiny</t>
  </si>
  <si>
    <t>23*1;B29;   </t>
  </si>
  <si>
    <t>Oplechování parapetů z elox. hliníku včetně doplňků</t>
  </si>
  <si>
    <t>2,4*(18+16+1+1);P2/E;   </t>
  </si>
  <si>
    <t>1,5*(11+2+2+1);P3/E;   </t>
  </si>
  <si>
    <t>Oplechování ventilační štěrbiny z Viplanylu</t>
  </si>
  <si>
    <t>23*1;K9;   </t>
  </si>
  <si>
    <t>Přesun hmot pro klempířské konstr., výšky do 12 m</t>
  </si>
  <si>
    <t>0,67473;viz hmotnost;   </t>
  </si>
  <si>
    <t>Krytina tvrdá</t>
  </si>
  <si>
    <t>Demontáž azbestocement.čtverců, do suti</t>
  </si>
  <si>
    <t>Konstrukce truhlářské</t>
  </si>
  <si>
    <t>Montáž výplní otvorů</t>
  </si>
  <si>
    <t>1,5*6;S3;   </t>
  </si>
  <si>
    <t>2,4*2,4*(18+16+1);O4;   </t>
  </si>
  <si>
    <t>1,5*2,4*(11+2+2);O6;   </t>
  </si>
  <si>
    <t>2,4*2,1*1;O12;   </t>
  </si>
  <si>
    <t>1,5*2,1*1;O13;   </t>
  </si>
  <si>
    <t>1,2*2,905*1;D3;   </t>
  </si>
  <si>
    <t>1,6*3,25*1;D4;   </t>
  </si>
  <si>
    <t>Stěna plast 1,5x6,0m, 3 sklo, Umax=0,9W/m2K vč. pákového mechanizmu</t>
  </si>
  <si>
    <t>1;S3;   </t>
  </si>
  <si>
    <t>Okno plast 2,4x2,4m, 3 sklo, Umax=0,9W/m2K</t>
  </si>
  <si>
    <t>18+16+1;O4;   </t>
  </si>
  <si>
    <t>Okno plast 1,5x2,4m, 3 sklo, Umax=0,9W/m2K</t>
  </si>
  <si>
    <t>1+2+2;O6;   </t>
  </si>
  <si>
    <t>Okno plast 1,5x2,4m, 3 sklo, Umax=0,9W/m2K, dubová kůra</t>
  </si>
  <si>
    <t>10;O6k;   </t>
  </si>
  <si>
    <t>Okno plast 2,4x2,1m, 3 sklo, Umax=0,9W/m2K</t>
  </si>
  <si>
    <t>1;O12;   </t>
  </si>
  <si>
    <t>Okno plast 1,5x2,1m, 3 sklo, Umax=0,9W/m2K</t>
  </si>
  <si>
    <t>1;O13;   </t>
  </si>
  <si>
    <t>Dveře plast 1,2x2,905m, 3 sklo, Umax=0,9W/m2K</t>
  </si>
  <si>
    <t>1;D3;   </t>
  </si>
  <si>
    <t>Dveře plast 1,6x3,25m, 3 sklo, Umax=0,9W/m2K</t>
  </si>
  <si>
    <t>1;D4;   </t>
  </si>
  <si>
    <t>Přesun hmot pro truhlářské konstr., výšky do 12 m</t>
  </si>
  <si>
    <t>8,81557;viz hmotnost;   </t>
  </si>
  <si>
    <t>Konstrukce doplňkové stavební (zámečnické)</t>
  </si>
  <si>
    <t>Žebřík - demontáž, prodloužení úchytek kotvení, nátěr a zpětná montáž</t>
  </si>
  <si>
    <t>1;B22;   </t>
  </si>
  <si>
    <t>Přestřešení vchodu</t>
  </si>
  <si>
    <t>2;PŘ1;   </t>
  </si>
  <si>
    <t>Přesun hmot pro zámečnické konstr., výšky do 12 m</t>
  </si>
  <si>
    <t>0,1;viz hmotnost;   </t>
  </si>
  <si>
    <t>Malby</t>
  </si>
  <si>
    <t>Malba klih.2x, 1bar.+strop,pačok 2x, míst. do 3,8m</t>
  </si>
  <si>
    <t>195,705;viz omítka vnitřního ostění;   </t>
  </si>
  <si>
    <t>Malba disperzní interiér.,výška do 3,8m pro SDK</t>
  </si>
  <si>
    <t>8,7*(0,75+0,35)   </t>
  </si>
  <si>
    <t>9*(0,75+0,35)*3   </t>
  </si>
  <si>
    <t>19,1*2   </t>
  </si>
  <si>
    <t>;1np;   </t>
  </si>
  <si>
    <t>77,47;2np-dtto 1np;   </t>
  </si>
  <si>
    <t>Čalounické úpravy</t>
  </si>
  <si>
    <t>Žaluzie předokenní lamelová, el. ovládaná, montáž + dodávka vč. zapojení</t>
  </si>
  <si>
    <t>2,4*2,4*(16+16);Ž1;   </t>
  </si>
  <si>
    <t>1,5*2,4*2;Ž2;   </t>
  </si>
  <si>
    <t>Lešení a stavební výtahy</t>
  </si>
  <si>
    <t>Montáž lešení leh.řad.s podlahami,š.1,2 m, H 30 m</t>
  </si>
  <si>
    <t>(7+30+28+32+4+16)*8,5;1;   </t>
  </si>
  <si>
    <t>1,2*8,5*4;přesahy;   </t>
  </si>
  <si>
    <t>Příplatek za každý měsíc použití lešení k pol.1042</t>
  </si>
  <si>
    <t>1035,3*2;předpoklad 2 měsíce;   </t>
  </si>
  <si>
    <t>Demontáž lešení leh.řad.s podlahami,š.1,2 m,H 30 m</t>
  </si>
  <si>
    <t>1035,3;viz montáž;   </t>
  </si>
  <si>
    <t>Montáž ochranné sítě z umělých vláken</t>
  </si>
  <si>
    <t>1035,3;viz montáž lešení;   </t>
  </si>
  <si>
    <t>Příplatek za každý měsíc použití sítí k pol. 4011</t>
  </si>
  <si>
    <t>Demontáž ochranné sítě z umělých vláken</t>
  </si>
  <si>
    <t>Lešení lehké pomocné, výška podlahy do 1,2 m</t>
  </si>
  <si>
    <t>8,7*1,5*2+9*1,5*3*2+19,1*2;1np;   </t>
  </si>
  <si>
    <t>145,3;2np-dtto 1np;   </t>
  </si>
  <si>
    <t>Přesun hmot lešení samostatně budovaného</t>
  </si>
  <si>
    <t>21,45104;viz hmotnost;   </t>
  </si>
  <si>
    <t>Různé dokončovací konstrukce a práce na pozemních stavbách</t>
  </si>
  <si>
    <t>Vyčištění ostatních objektů - střecha</t>
  </si>
  <si>
    <t>1115;viz krytina;   </t>
  </si>
  <si>
    <t>Čištění mytím vnějších ploch oken a dveří</t>
  </si>
  <si>
    <t>Čištění mytím vnitřních ploch oken a dveří</t>
  </si>
  <si>
    <t>281,5;viz mytí vnějších oken;   </t>
  </si>
  <si>
    <t>Průběžný úklid</t>
  </si>
  <si>
    <t>20,15+18,8+64,2+19,1+63,8+23,2+31,6+123,8+14,15   </t>
  </si>
  <si>
    <t>11,4+14,7+4,7+16,1+15,1+1,8+19,9+62,45+19,1+64,2+33,8+4,9+8,7   </t>
  </si>
  <si>
    <t>201,15+18,8+64,2+19,1+63,8+23,2+31,6+14,15+11,4   </t>
  </si>
  <si>
    <t>14,7+4,7+16,1+15,1+1,8+19,9+62,45+19,1+64,2+33,8+4,9+8,7   </t>
  </si>
  <si>
    <t>;2np;   </t>
  </si>
  <si>
    <t>Závěrečný úklid bez mytí oken a dveří</t>
  </si>
  <si>
    <t>1368,5;viz průběžný úklid;   </t>
  </si>
  <si>
    <t>Bourání konstrukcí</t>
  </si>
  <si>
    <t>Bourání betonových okapových chodníčků</t>
  </si>
  <si>
    <t>(30+18+8,5+32,5+9+6+5+4,5)*0,6*0,15;B2;   </t>
  </si>
  <si>
    <t>Bourání výplní z kopilitu</t>
  </si>
  <si>
    <t>1,5*6;B3;   </t>
  </si>
  <si>
    <t>Vyvěšení dřevěných okenních křídel pl. do 1,5 m2</t>
  </si>
  <si>
    <t>2;B3;   </t>
  </si>
  <si>
    <t>3*(18+16+1);B8;   </t>
  </si>
  <si>
    <t>1*(11+2+2);B10;   </t>
  </si>
  <si>
    <t>2*1;B31;   </t>
  </si>
  <si>
    <t>1;B32;   </t>
  </si>
  <si>
    <t>Vyvěšení dřevěných okenních křídel pl. nad 1,5 m2</t>
  </si>
  <si>
    <t>1*(18+16+1);B8;   </t>
  </si>
  <si>
    <t>Vybourání dřevěných rámů oken jednoduch. pl. 2 m2</t>
  </si>
  <si>
    <t>1,5*1,3;B3;   </t>
  </si>
  <si>
    <t>Vybourání dřevěných rámů oken jednoduch. nad 4 m2</t>
  </si>
  <si>
    <t>2,4*2,4*(18+16+1);B8;   </t>
  </si>
  <si>
    <t>2,4*2,1*1;B31;   </t>
  </si>
  <si>
    <t>Vybourání dřevěných rámů oken jednoduch. pl. 4 m2</t>
  </si>
  <si>
    <t>1,5*2,4*(11+2+2);B10;   </t>
  </si>
  <si>
    <t>1,5*2,1;B32;   </t>
  </si>
  <si>
    <t>Vyvěšení, zavěšení kovových křídel dveří nad 2 m2</t>
  </si>
  <si>
    <t>1;B33;   </t>
  </si>
  <si>
    <t>Vyvěšení, zavěšení kovových křídel oken pl. 1,5 m2 - nadsvětlík</t>
  </si>
  <si>
    <t>Vybourání kovových dveřních zárubní pl. nad 2 m2</t>
  </si>
  <si>
    <t>1,2*2,905;B33;   </t>
  </si>
  <si>
    <t>1,6*3,25;B34;   </t>
  </si>
  <si>
    <t>Vyvěšení,zavěšení  kovových křídel oken nad 1,5 m2 - nadsvětlík</t>
  </si>
  <si>
    <t>1;B34;   </t>
  </si>
  <si>
    <t>Vyvěšení, zavěšení kovových křídel dveří pl. 2 m2</t>
  </si>
  <si>
    <t>2;B34;   </t>
  </si>
  <si>
    <t>Demontáž hlavic kanalizace</t>
  </si>
  <si>
    <t>9;B25;   </t>
  </si>
  <si>
    <t>Bourání parapetů dřevěných</t>
  </si>
  <si>
    <t>110,4;viz vnější parapety;   </t>
  </si>
  <si>
    <t>Prorážení otvorů a ostatní bourací práce</t>
  </si>
  <si>
    <t>Odsekání vnějších obkladů stěn nad 2 m2</t>
  </si>
  <si>
    <t>(6+29+17,5+8+31+4+8+5,5)*0,3;B1;   </t>
  </si>
  <si>
    <t>Vybourání otv. zeď cihel. pl.0,09 m2, tl.30cm, MVC</t>
  </si>
  <si>
    <t>2;1np;   </t>
  </si>
  <si>
    <t>2;2np;   </t>
  </si>
  <si>
    <t>Vybourání otv. zeď cihel. pl.0,09 m2, tl.15cm, MVC</t>
  </si>
  <si>
    <t>6;1np;   </t>
  </si>
  <si>
    <t>6;2np;   </t>
  </si>
  <si>
    <t>Vybourání otvorů stropy prefa 0,25 m2, nad 12 cm</t>
  </si>
  <si>
    <t>4;1np;   </t>
  </si>
  <si>
    <t>4;2np;   </t>
  </si>
  <si>
    <t>Řezání železobetonu hl. řezu 300 mm</t>
  </si>
  <si>
    <t>(0,45+0,3)*2*0,3*4;1np;   </t>
  </si>
  <si>
    <t>(0,45+0,3)*2*0,3*4;2np;   </t>
  </si>
  <si>
    <t>(1,805*2,76)*2*0,25*2;pro základ VZT v RZP;   </t>
  </si>
  <si>
    <t>Řezání cihelného zdiva hl. řezu 150 mm</t>
  </si>
  <si>
    <t>0,3*4*0,12*3;1np;   </t>
  </si>
  <si>
    <t>(0,3+0,25)*2*0,12*3;1np;   </t>
  </si>
  <si>
    <t>0,3*4*0,12;2np;   </t>
  </si>
  <si>
    <t>(0,3+0,25)*2*0,12*5;2np;   </t>
  </si>
  <si>
    <t>Řezání cihelného zdiva hl. řezu 200 mm</t>
  </si>
  <si>
    <t>0,3*4*0,2;1np;   </t>
  </si>
  <si>
    <t>(0,3+0,25)*2*0,2;1np;   </t>
  </si>
  <si>
    <t>0,3*4*0,2;2np;   </t>
  </si>
  <si>
    <t>(0,3+0,25)*2*0,2;2np;   </t>
  </si>
  <si>
    <t>Vybourání otv. stropy ŽB pl. 4 m2, tl. nad 8 cm</t>
  </si>
  <si>
    <t>1,805*2,76*0,25*2;pro základ VZT v RZP;   </t>
  </si>
  <si>
    <t>Ostatní přesuny hmot</t>
  </si>
  <si>
    <t>Přesun hmot pro opravy a údržbu do výšky 12 m</t>
  </si>
  <si>
    <t>96,83376;viz hmotnost;   </t>
  </si>
  <si>
    <t>Osetí povrchu trávou</t>
  </si>
  <si>
    <t>Osetí povrchu trávou včetně dodávky osiva</t>
  </si>
  <si>
    <t>68;viz chodník;   </t>
  </si>
  <si>
    <t>Přesuny sutí</t>
  </si>
  <si>
    <t>Svislá doprava suti a vybour. hmot za 2.NP a 1.PP</t>
  </si>
  <si>
    <t>107,02218;viz hmotnost;   </t>
  </si>
  <si>
    <t>Vnitrostaveništní doprava suti do 10 m</t>
  </si>
  <si>
    <t>Vodorovná doprava suti po suchu do 50 m</t>
  </si>
  <si>
    <t>Nakládání vybour.hmot na doprav.prostředky</t>
  </si>
  <si>
    <t>Odvoz suti a vybour. hmot na skládku do 1 km</t>
  </si>
  <si>
    <t>Příplatek k odvozu za každý další 1 km</t>
  </si>
  <si>
    <t>107,02218*19;viz hmotnost-odvoz celkem do 20km;   </t>
  </si>
  <si>
    <t>Poplatek za skládku suti - asfaltové pásy</t>
  </si>
  <si>
    <t>17,84;viz hmotnost;   </t>
  </si>
  <si>
    <t>Poplatek za skládku suti - minerální vata</t>
  </si>
  <si>
    <t>31,59;viz hmotnost;   </t>
  </si>
  <si>
    <t>Poplatek za skládku suti -azbestocementové výrobky</t>
  </si>
  <si>
    <t>14,742;viz hmornost;   </t>
  </si>
  <si>
    <t>Poplatek za skládku stavební suti</t>
  </si>
  <si>
    <t>42,85018;viz hmotnost;   </t>
  </si>
  <si>
    <t>Doba výstavby:</t>
  </si>
  <si>
    <t>Začátek výstavby:</t>
  </si>
  <si>
    <t>Konec výstavby:</t>
  </si>
  <si>
    <t>Zpracováno dne:</t>
  </si>
  <si>
    <t>15.10.2019</t>
  </si>
  <si>
    <t>MJ</t>
  </si>
  <si>
    <t>m2</t>
  </si>
  <si>
    <t>m3</t>
  </si>
  <si>
    <t>kompl</t>
  </si>
  <si>
    <t>m</t>
  </si>
  <si>
    <t>kus</t>
  </si>
  <si>
    <t>t</t>
  </si>
  <si>
    <t>Množství</t>
  </si>
  <si>
    <t>Objednatel:</t>
  </si>
  <si>
    <t>Projektant:</t>
  </si>
  <si>
    <t>Zhotovitel:</t>
  </si>
  <si>
    <t>Zpracoval:</t>
  </si>
  <si>
    <t>Cena/MJ</t>
  </si>
  <si>
    <t>(Kč)</t>
  </si>
  <si>
    <t>Město Cheb</t>
  </si>
  <si>
    <t>Kamila Možná</t>
  </si>
  <si>
    <t>Dle výběrového řízení</t>
  </si>
  <si>
    <t>Náklady (Kč)</t>
  </si>
  <si>
    <t>Dodávka</t>
  </si>
  <si>
    <t>Celkem:</t>
  </si>
  <si>
    <t>Montáž</t>
  </si>
  <si>
    <t>Celkem</t>
  </si>
  <si>
    <t>Cenová</t>
  </si>
  <si>
    <t>soustava</t>
  </si>
  <si>
    <t>RTS II / 2019</t>
  </si>
  <si>
    <t>RTS I / 2020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</si>
  <si>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</si>
  <si>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</si>
  <si>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</si>
  <si>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</si>
  <si>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</si>
  <si>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</si>
  <si>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</si>
  <si>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</si>
  <si>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</si>
  <si>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1_</t>
  </si>
  <si>
    <t>13_</t>
  </si>
  <si>
    <t>16_</t>
  </si>
  <si>
    <t>17_</t>
  </si>
  <si>
    <t>2_</t>
  </si>
  <si>
    <t>27_</t>
  </si>
  <si>
    <t>34_</t>
  </si>
  <si>
    <t>59_</t>
  </si>
  <si>
    <t>61_</t>
  </si>
  <si>
    <t>62_</t>
  </si>
  <si>
    <t>64_</t>
  </si>
  <si>
    <t>712_</t>
  </si>
  <si>
    <t>713_</t>
  </si>
  <si>
    <t>721_</t>
  </si>
  <si>
    <t>728_</t>
  </si>
  <si>
    <t>762_</t>
  </si>
  <si>
    <t>763_</t>
  </si>
  <si>
    <t>764_</t>
  </si>
  <si>
    <t>765_</t>
  </si>
  <si>
    <t>766_</t>
  </si>
  <si>
    <t>767_</t>
  </si>
  <si>
    <t>784_</t>
  </si>
  <si>
    <t>786_</t>
  </si>
  <si>
    <t>94_</t>
  </si>
  <si>
    <t>95_</t>
  </si>
  <si>
    <t>96_</t>
  </si>
  <si>
    <t>97_</t>
  </si>
  <si>
    <t>H99_</t>
  </si>
  <si>
    <t>M46_</t>
  </si>
  <si>
    <t>S_</t>
  </si>
  <si>
    <t>3_</t>
  </si>
  <si>
    <t>5_</t>
  </si>
  <si>
    <t>6_</t>
  </si>
  <si>
    <t>71_</t>
  </si>
  <si>
    <t>72_</t>
  </si>
  <si>
    <t>76_</t>
  </si>
  <si>
    <t>78_</t>
  </si>
  <si>
    <t>9_</t>
  </si>
  <si>
    <t>_</t>
  </si>
  <si>
    <t>MAT</t>
  </si>
  <si>
    <t>WORK</t>
  </si>
  <si>
    <t>CELK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</si>
  <si>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</si>
  <si>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</si>
  <si>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</si>
  <si>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</si>
  <si>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</si>
  <si>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</si>
  <si>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</si>
  <si>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</si>
  <si>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</si>
  <si>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</si>
  <si>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</si>
  <si>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</si>
  <si>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</si>
  <si>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</si>
  <si>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</si>
  <si>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slepého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</si>
  <si>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</si>
  <si>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</si>
  <si>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</si>
  <si>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</si>
  <si>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</si>
  <si>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</si>
  <si>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</si>
  <si>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</si>
  <si>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</si>
  <si>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</si>
  <si>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</si>
  <si>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</si>
  <si>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</si>
  <si>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</si>
  <si>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</si>
  <si>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</si>
  <si>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</si>
  <si>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</si>
  <si>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</si>
  <si>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</si>
  <si>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</si>
  <si>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</si>
  <si>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</si>
  <si>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</si>
  <si>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</si>
  <si>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</si>
  <si>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</si>
  <si>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</si>
  <si>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Opláštění z SDK 2.str.,do 800x800 mm,MA tl.12,5 mm 1x opláštění</t>
  </si>
  <si>
    <t>Závětrná lišta z poplastovaného plechu rš 250 mm</t>
  </si>
  <si>
    <t>Rohová lišta vnější poplastovaného plechu RŠ 100 mm</t>
  </si>
  <si>
    <t>Rohová lišta vnitřní poplastovaného plechu RŠ 100 mm</t>
  </si>
  <si>
    <t>1115   </t>
  </si>
  <si>
    <t>Geotextilie netkaná 300 g/m2</t>
  </si>
  <si>
    <t>Fólie izolační z PVC-P s výztužnou vložkou PES, tl. 1,5 mm</t>
  </si>
  <si>
    <t>Pás modif. asfalt samolep s vložkou ze skleněné tkaniny tl. 3mm</t>
  </si>
  <si>
    <t>Elektromontáže</t>
  </si>
  <si>
    <t>viz samostatný rozpočet Elektroinstalace Objekt 1</t>
  </si>
  <si>
    <t>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</si>
</sst>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</font>
    <font>
      <sz val="10"/>
      <color indexed="8"/>
      <name val="Arial"/>
      <family val="2"/>
      <charset val="238"/>
    </font>
    <font>
      <sz val="1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56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color indexed="62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i/>
      <sz val="10"/>
      <color indexed="63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1" fillId="0" borderId="0" xfId="0" applyFont="1" applyAlignment="1">
      <alignment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49" fontId="4" fillId="2" borderId="7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vertical="center"/>
    </xf>
    <xf numFmtId="0" fontId="1" fillId="0" borderId="8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3" fillId="0" borderId="10" xfId="0" applyNumberFormat="1" applyFont="1" applyFill="1" applyBorder="1" applyAlignment="1" applyProtection="1">
      <alignment horizontal="left" vertical="center"/>
    </xf>
    <xf numFmtId="49" fontId="1" fillId="0" borderId="11" xfId="0" applyNumberFormat="1" applyFont="1" applyFill="1" applyBorder="1" applyAlignment="1" applyProtection="1">
      <alignment horizontal="left" vertical="center"/>
    </xf>
    <xf numFmtId="49" fontId="8" fillId="2" borderId="7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49" fontId="3" fillId="0" borderId="10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49" fontId="3" fillId="0" borderId="15" xfId="0" applyNumberFormat="1" applyFont="1" applyFill="1" applyBorder="1" applyAlignment="1" applyProtection="1">
      <alignment horizontal="center" vertical="center"/>
    </xf>
    <xf numFmtId="49" fontId="3" fillId="0" borderId="16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20" xfId="0" applyNumberFormat="1" applyFont="1" applyFill="1" applyBorder="1" applyAlignment="1" applyProtection="1">
      <alignment horizontal="center" vertical="center"/>
    </xf>
    <xf numFmtId="49" fontId="3" fillId="0" borderId="22" xfId="0" applyNumberFormat="1" applyFont="1" applyFill="1" applyBorder="1" applyAlignment="1" applyProtection="1">
      <alignment horizontal="center" vertical="center"/>
    </xf>
    <xf numFmtId="49" fontId="3" fillId="0" borderId="25" xfId="0" applyNumberFormat="1" applyFont="1" applyFill="1" applyBorder="1" applyAlignment="1" applyProtection="1">
      <alignment horizontal="center" vertical="center"/>
    </xf>
    <xf numFmtId="49" fontId="3" fillId="0" borderId="26" xfId="0" applyNumberFormat="1" applyFont="1" applyFill="1" applyBorder="1" applyAlignment="1" applyProtection="1">
      <alignment horizontal="center" vertical="center"/>
    </xf>
    <xf numFmtId="49" fontId="8" fillId="2" borderId="7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8" fillId="2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0" fontId="1" fillId="0" borderId="3" xfId="0" applyNumberFormat="1" applyFont="1" applyFill="1" applyBorder="1" applyAlignment="1" applyProtection="1">
      <alignment vertical="center"/>
    </xf>
    <xf numFmtId="0" fontId="1" fillId="0" borderId="27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" fontId="8" fillId="2" borderId="7" xfId="0" applyNumberFormat="1" applyFont="1" applyFill="1" applyBorder="1" applyAlignment="1" applyProtection="1">
      <alignment horizontal="right" vertical="center"/>
    </xf>
    <xf numFmtId="4" fontId="8" fillId="2" borderId="0" xfId="0" applyNumberFormat="1" applyFont="1" applyFill="1" applyBorder="1" applyAlignment="1" applyProtection="1">
      <alignment horizontal="right" vertical="center"/>
    </xf>
    <xf numFmtId="4" fontId="3" fillId="0" borderId="8" xfId="0" applyNumberFormat="1" applyFont="1" applyFill="1" applyBorder="1" applyAlignment="1" applyProtection="1">
      <alignment horizontal="right" vertical="center"/>
    </xf>
    <xf numFmtId="49" fontId="11" fillId="3" borderId="30" xfId="0" applyNumberFormat="1" applyFont="1" applyFill="1" applyBorder="1" applyAlignment="1" applyProtection="1">
      <alignment horizontal="center" vertical="center"/>
    </xf>
    <xf numFmtId="49" fontId="12" fillId="0" borderId="31" xfId="0" applyNumberFormat="1" applyFont="1" applyFill="1" applyBorder="1" applyAlignment="1" applyProtection="1">
      <alignment horizontal="left" vertical="center"/>
    </xf>
    <xf numFmtId="49" fontId="12" fillId="0" borderId="32" xfId="0" applyNumberFormat="1" applyFont="1" applyFill="1" applyBorder="1" applyAlignment="1" applyProtection="1">
      <alignment horizontal="left" vertical="center"/>
    </xf>
    <xf numFmtId="0" fontId="1" fillId="0" borderId="34" xfId="0" applyNumberFormat="1" applyFont="1" applyFill="1" applyBorder="1" applyAlignment="1" applyProtection="1">
      <alignment vertical="center"/>
    </xf>
    <xf numFmtId="49" fontId="7" fillId="0" borderId="7" xfId="0" applyNumberFormat="1" applyFont="1" applyFill="1" applyBorder="1" applyAlignment="1" applyProtection="1">
      <alignment horizontal="left" vertical="center"/>
    </xf>
    <xf numFmtId="49" fontId="13" fillId="0" borderId="30" xfId="0" applyNumberFormat="1" applyFont="1" applyFill="1" applyBorder="1" applyAlignment="1" applyProtection="1">
      <alignment horizontal="left" vertical="center"/>
    </xf>
    <xf numFmtId="0" fontId="1" fillId="0" borderId="7" xfId="0" applyNumberFormat="1" applyFont="1" applyFill="1" applyBorder="1" applyAlignment="1" applyProtection="1">
      <alignment vertical="center"/>
    </xf>
    <xf numFmtId="0" fontId="1" fillId="0" borderId="23" xfId="0" applyNumberFormat="1" applyFont="1" applyFill="1" applyBorder="1" applyAlignment="1" applyProtection="1">
      <alignment vertical="center"/>
    </xf>
    <xf numFmtId="0" fontId="1" fillId="0" borderId="28" xfId="0" applyNumberFormat="1" applyFont="1" applyFill="1" applyBorder="1" applyAlignment="1" applyProtection="1">
      <alignment vertical="center"/>
    </xf>
    <xf numFmtId="4" fontId="13" fillId="0" borderId="30" xfId="0" applyNumberFormat="1" applyFont="1" applyFill="1" applyBorder="1" applyAlignment="1" applyProtection="1">
      <alignment horizontal="right" vertical="center"/>
    </xf>
    <xf numFmtId="49" fontId="13" fillId="0" borderId="30" xfId="0" applyNumberFormat="1" applyFont="1" applyFill="1" applyBorder="1" applyAlignment="1" applyProtection="1">
      <alignment horizontal="right" vertical="center"/>
    </xf>
    <xf numFmtId="4" fontId="13" fillId="0" borderId="20" xfId="0" applyNumberFormat="1" applyFont="1" applyFill="1" applyBorder="1" applyAlignment="1" applyProtection="1">
      <alignment horizontal="right" vertical="center"/>
    </xf>
    <xf numFmtId="0" fontId="1" fillId="0" borderId="13" xfId="0" applyNumberFormat="1" applyFont="1" applyFill="1" applyBorder="1" applyAlignment="1" applyProtection="1">
      <alignment vertical="center"/>
    </xf>
    <xf numFmtId="0" fontId="1" fillId="0" borderId="24" xfId="0" applyNumberFormat="1" applyFont="1" applyFill="1" applyBorder="1" applyAlignment="1" applyProtection="1">
      <alignment vertical="center"/>
    </xf>
    <xf numFmtId="0" fontId="1" fillId="0" borderId="33" xfId="0" applyNumberFormat="1" applyFont="1" applyFill="1" applyBorder="1" applyAlignment="1" applyProtection="1">
      <alignment vertical="center"/>
    </xf>
    <xf numFmtId="4" fontId="12" fillId="3" borderId="37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>
      <alignment horizontal="left" vertical="center"/>
    </xf>
    <xf numFmtId="49" fontId="15" fillId="2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left" vertical="center"/>
    </xf>
    <xf numFmtId="49" fontId="3" fillId="0" borderId="8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0" fontId="8" fillId="2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49" fontId="15" fillId="2" borderId="0" xfId="0" applyNumberFormat="1" applyFont="1" applyFill="1" applyBorder="1" applyAlignment="1" applyProtection="1">
      <alignment horizontal="left" vertical="center"/>
    </xf>
    <xf numFmtId="49" fontId="3" fillId="0" borderId="12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13" xfId="0" applyNumberFormat="1" applyFont="1" applyFill="1" applyBorder="1" applyAlignment="1" applyProtection="1">
      <alignment horizontal="left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0" fontId="3" fillId="0" borderId="19" xfId="0" applyNumberFormat="1" applyFont="1" applyFill="1" applyBorder="1" applyAlignment="1" applyProtection="1">
      <alignment horizontal="center" vertical="center"/>
    </xf>
    <xf numFmtId="0" fontId="3" fillId="0" borderId="21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left" vertical="center"/>
    </xf>
    <xf numFmtId="49" fontId="8" fillId="2" borderId="7" xfId="0" applyNumberFormat="1" applyFont="1" applyFill="1" applyBorder="1" applyAlignment="1" applyProtection="1">
      <alignment horizontal="left" vertical="center"/>
    </xf>
    <xf numFmtId="0" fontId="8" fillId="2" borderId="7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2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1" fillId="0" borderId="8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 wrapText="1"/>
    </xf>
    <xf numFmtId="0" fontId="1" fillId="0" borderId="23" xfId="0" applyNumberFormat="1" applyFont="1" applyFill="1" applyBorder="1" applyAlignment="1" applyProtection="1">
      <alignment horizontal="left" vertical="center"/>
    </xf>
    <xf numFmtId="49" fontId="13" fillId="0" borderId="27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0" borderId="39" xfId="0" applyNumberFormat="1" applyFont="1" applyFill="1" applyBorder="1" applyAlignment="1" applyProtection="1">
      <alignment horizontal="left" vertical="center"/>
    </xf>
    <xf numFmtId="49" fontId="13" fillId="0" borderId="36" xfId="0" applyNumberFormat="1" applyFont="1" applyFill="1" applyBorder="1" applyAlignment="1" applyProtection="1">
      <alignment horizontal="left" vertical="center"/>
    </xf>
    <xf numFmtId="0" fontId="13" fillId="0" borderId="9" xfId="0" applyNumberFormat="1" applyFont="1" applyFill="1" applyBorder="1" applyAlignment="1" applyProtection="1">
      <alignment horizontal="left" vertical="center"/>
    </xf>
    <xf numFmtId="0" fontId="13" fillId="0" borderId="40" xfId="0" applyNumberFormat="1" applyFont="1" applyFill="1" applyBorder="1" applyAlignment="1" applyProtection="1">
      <alignment horizontal="left" vertical="center"/>
    </xf>
    <xf numFmtId="49" fontId="12" fillId="3" borderId="33" xfId="0" applyNumberFormat="1" applyFont="1" applyFill="1" applyBorder="1" applyAlignment="1" applyProtection="1">
      <alignment horizontal="left" vertical="center"/>
    </xf>
    <xf numFmtId="0" fontId="12" fillId="3" borderId="29" xfId="0" applyNumberFormat="1" applyFont="1" applyFill="1" applyBorder="1" applyAlignment="1" applyProtection="1">
      <alignment horizontal="left" vertical="center"/>
    </xf>
    <xf numFmtId="49" fontId="13" fillId="0" borderId="35" xfId="0" applyNumberFormat="1" applyFont="1" applyFill="1" applyBorder="1" applyAlignment="1" applyProtection="1">
      <alignment horizontal="left" vertical="center"/>
    </xf>
    <xf numFmtId="0" fontId="13" fillId="0" borderId="7" xfId="0" applyNumberFormat="1" applyFont="1" applyFill="1" applyBorder="1" applyAlignment="1" applyProtection="1">
      <alignment horizontal="left" vertical="center"/>
    </xf>
    <xf numFmtId="0" fontId="13" fillId="0" borderId="38" xfId="0" applyNumberFormat="1" applyFont="1" applyFill="1" applyBorder="1" applyAlignment="1" applyProtection="1">
      <alignment horizontal="left" vertical="center"/>
    </xf>
    <xf numFmtId="49" fontId="12" fillId="0" borderId="33" xfId="0" applyNumberFormat="1" applyFont="1" applyFill="1" applyBorder="1" applyAlignment="1" applyProtection="1">
      <alignment horizontal="left" vertical="center"/>
    </xf>
    <xf numFmtId="0" fontId="12" fillId="0" borderId="37" xfId="0" applyNumberFormat="1" applyFont="1" applyFill="1" applyBorder="1" applyAlignment="1" applyProtection="1">
      <alignment horizontal="left" vertical="center"/>
    </xf>
    <xf numFmtId="49" fontId="13" fillId="0" borderId="33" xfId="0" applyNumberFormat="1" applyFont="1" applyFill="1" applyBorder="1" applyAlignment="1" applyProtection="1">
      <alignment horizontal="left" vertical="center"/>
    </xf>
    <xf numFmtId="0" fontId="13" fillId="0" borderId="37" xfId="0" applyNumberFormat="1" applyFont="1" applyFill="1" applyBorder="1" applyAlignment="1" applyProtection="1">
      <alignment horizontal="left" vertical="center"/>
    </xf>
    <xf numFmtId="49" fontId="10" fillId="0" borderId="29" xfId="0" applyNumberFormat="1" applyFont="1" applyFill="1" applyBorder="1" applyAlignment="1" applyProtection="1">
      <alignment horizontal="center" vertical="center"/>
    </xf>
    <xf numFmtId="0" fontId="10" fillId="0" borderId="29" xfId="0" applyNumberFormat="1" applyFont="1" applyFill="1" applyBorder="1" applyAlignment="1" applyProtection="1">
      <alignment horizontal="center" vertical="center"/>
    </xf>
    <xf numFmtId="49" fontId="14" fillId="0" borderId="33" xfId="0" applyNumberFormat="1" applyFont="1" applyFill="1" applyBorder="1" applyAlignment="1" applyProtection="1">
      <alignment horizontal="left" vertical="center"/>
    </xf>
    <xf numFmtId="0" fontId="14" fillId="0" borderId="37" xfId="0" applyNumberFormat="1" applyFont="1" applyFill="1" applyBorder="1" applyAlignment="1" applyProtection="1">
      <alignment horizontal="left" vertical="center"/>
    </xf>
    <xf numFmtId="0" fontId="1" fillId="0" borderId="24" xfId="0" applyNumberFormat="1" applyFont="1" applyFill="1" applyBorder="1" applyAlignment="1" applyProtection="1">
      <alignment horizontal="left" vertical="center" wrapText="1"/>
    </xf>
    <xf numFmtId="0" fontId="1" fillId="0" borderId="41" xfId="0" applyNumberFormat="1" applyFont="1" applyFill="1" applyBorder="1" applyAlignment="1" applyProtection="1">
      <alignment horizontal="left" vertical="center"/>
    </xf>
    <xf numFmtId="49" fontId="1" fillId="0" borderId="24" xfId="0" applyNumberFormat="1" applyFont="1" applyFill="1" applyBorder="1" applyAlignment="1" applyProtection="1">
      <alignment horizontal="left" vertical="center"/>
    </xf>
    <xf numFmtId="0" fontId="1" fillId="0" borderId="28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3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657225</xdr:colOff>
      <xdr:row>0</xdr:row>
      <xdr:rowOff>885825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04875" cy="885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402"/>
  <sheetViews>
    <sheetView tabSelected="1" zoomScale="85" zoomScaleNormal="85" workbookViewId="0">
      <pane ySplit="11" topLeftCell="A27" activePane="bottomLeft" state="frozenSplit"/>
      <selection pane="bottomLeft" activeCell="A37" sqref="A37"/>
    </sheetView>
  </sheetViews>
  <sheetFormatPr defaultColWidth="11.5703125" defaultRowHeight="12.75" x14ac:dyDescent="0.2"/>
  <cols>
    <col min="1" max="1" width="3.7109375" customWidth="1"/>
    <col min="2" max="2" width="14.28515625" customWidth="1"/>
    <col min="3" max="3" width="81.7109375" customWidth="1"/>
    <col min="6" max="6" width="5.85546875" customWidth="1"/>
    <col min="7" max="7" width="12.85546875" customWidth="1"/>
    <col min="8" max="8" width="12" customWidth="1"/>
    <col min="9" max="11" width="14.28515625" customWidth="1"/>
    <col min="12" max="12" width="11.7109375" customWidth="1"/>
    <col min="25" max="62" width="12.140625" hidden="1" customWidth="1"/>
  </cols>
  <sheetData>
    <row r="1" spans="1:62" ht="72.95" customHeight="1" x14ac:dyDescent="0.35">
      <c r="A1" s="88" t="s">
        <v>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62" x14ac:dyDescent="0.2">
      <c r="A2" s="90" t="s">
        <v>1</v>
      </c>
      <c r="B2" s="91"/>
      <c r="C2" s="93" t="s">
        <v>300</v>
      </c>
      <c r="D2" s="95" t="s">
        <v>661</v>
      </c>
      <c r="E2" s="91"/>
      <c r="F2" s="95" t="s">
        <v>6</v>
      </c>
      <c r="G2" s="91"/>
      <c r="H2" s="96" t="s">
        <v>674</v>
      </c>
      <c r="I2" s="96" t="s">
        <v>680</v>
      </c>
      <c r="J2" s="91"/>
      <c r="K2" s="91"/>
      <c r="L2" s="97"/>
      <c r="M2" s="30"/>
    </row>
    <row r="3" spans="1:62" x14ac:dyDescent="0.2">
      <c r="A3" s="92"/>
      <c r="B3" s="57"/>
      <c r="C3" s="94"/>
      <c r="D3" s="57"/>
      <c r="E3" s="57"/>
      <c r="F3" s="57"/>
      <c r="G3" s="57"/>
      <c r="H3" s="57"/>
      <c r="I3" s="57"/>
      <c r="J3" s="57"/>
      <c r="K3" s="57"/>
      <c r="L3" s="86"/>
      <c r="M3" s="30"/>
    </row>
    <row r="4" spans="1:62" x14ac:dyDescent="0.2">
      <c r="A4" s="82" t="s">
        <v>2</v>
      </c>
      <c r="B4" s="57"/>
      <c r="C4" s="56" t="s">
        <v>301</v>
      </c>
      <c r="D4" s="85" t="s">
        <v>662</v>
      </c>
      <c r="E4" s="57"/>
      <c r="F4" s="85" t="s">
        <v>6</v>
      </c>
      <c r="G4" s="57"/>
      <c r="H4" s="56" t="s">
        <v>675</v>
      </c>
      <c r="I4" s="56" t="s">
        <v>681</v>
      </c>
      <c r="J4" s="57"/>
      <c r="K4" s="57"/>
      <c r="L4" s="86"/>
      <c r="M4" s="30"/>
    </row>
    <row r="5" spans="1:62" x14ac:dyDescent="0.2">
      <c r="A5" s="92"/>
      <c r="B5" s="57"/>
      <c r="C5" s="57"/>
      <c r="D5" s="57"/>
      <c r="E5" s="57"/>
      <c r="F5" s="57"/>
      <c r="G5" s="57"/>
      <c r="H5" s="57"/>
      <c r="I5" s="57"/>
      <c r="J5" s="57"/>
      <c r="K5" s="57"/>
      <c r="L5" s="86"/>
      <c r="M5" s="30"/>
    </row>
    <row r="6" spans="1:62" x14ac:dyDescent="0.2">
      <c r="A6" s="82" t="s">
        <v>3</v>
      </c>
      <c r="B6" s="57"/>
      <c r="C6" s="56" t="s">
        <v>302</v>
      </c>
      <c r="D6" s="85" t="s">
        <v>663</v>
      </c>
      <c r="E6" s="57"/>
      <c r="F6" s="85" t="s">
        <v>6</v>
      </c>
      <c r="G6" s="57"/>
      <c r="H6" s="56" t="s">
        <v>676</v>
      </c>
      <c r="I6" s="56" t="s">
        <v>682</v>
      </c>
      <c r="J6" s="57"/>
      <c r="K6" s="57"/>
      <c r="L6" s="86"/>
      <c r="M6" s="30"/>
    </row>
    <row r="7" spans="1:62" x14ac:dyDescent="0.2">
      <c r="A7" s="92"/>
      <c r="B7" s="57"/>
      <c r="C7" s="57"/>
      <c r="D7" s="57"/>
      <c r="E7" s="57"/>
      <c r="F7" s="57"/>
      <c r="G7" s="57"/>
      <c r="H7" s="57"/>
      <c r="I7" s="57"/>
      <c r="J7" s="57"/>
      <c r="K7" s="57"/>
      <c r="L7" s="86"/>
      <c r="M7" s="30"/>
    </row>
    <row r="8" spans="1:62" x14ac:dyDescent="0.2">
      <c r="A8" s="82" t="s">
        <v>4</v>
      </c>
      <c r="B8" s="57"/>
      <c r="C8" s="56" t="s">
        <v>6</v>
      </c>
      <c r="D8" s="85" t="s">
        <v>664</v>
      </c>
      <c r="E8" s="57"/>
      <c r="F8" s="85" t="s">
        <v>665</v>
      </c>
      <c r="G8" s="57"/>
      <c r="H8" s="56" t="s">
        <v>677</v>
      </c>
      <c r="I8" s="56" t="s">
        <v>681</v>
      </c>
      <c r="J8" s="57"/>
      <c r="K8" s="57"/>
      <c r="L8" s="86"/>
      <c r="M8" s="30"/>
    </row>
    <row r="9" spans="1:62" ht="13.5" thickBot="1" x14ac:dyDescent="0.25">
      <c r="A9" s="83"/>
      <c r="B9" s="84"/>
      <c r="C9" s="84"/>
      <c r="D9" s="84"/>
      <c r="E9" s="84"/>
      <c r="F9" s="84"/>
      <c r="G9" s="84"/>
      <c r="H9" s="84"/>
      <c r="I9" s="84"/>
      <c r="J9" s="84"/>
      <c r="K9" s="84"/>
      <c r="L9" s="87"/>
      <c r="M9" s="30"/>
    </row>
    <row r="10" spans="1:62" x14ac:dyDescent="0.2">
      <c r="A10" s="1" t="s">
        <v>5</v>
      </c>
      <c r="B10" s="10" t="s">
        <v>147</v>
      </c>
      <c r="C10" s="71" t="s">
        <v>303</v>
      </c>
      <c r="D10" s="72"/>
      <c r="E10" s="73"/>
      <c r="F10" s="10" t="s">
        <v>666</v>
      </c>
      <c r="G10" s="14" t="s">
        <v>673</v>
      </c>
      <c r="H10" s="19" t="s">
        <v>678</v>
      </c>
      <c r="I10" s="74" t="s">
        <v>683</v>
      </c>
      <c r="J10" s="75"/>
      <c r="K10" s="76"/>
      <c r="L10" s="24" t="s">
        <v>688</v>
      </c>
      <c r="M10" s="31"/>
    </row>
    <row r="11" spans="1:62" ht="13.5" thickBot="1" x14ac:dyDescent="0.25">
      <c r="A11" s="2" t="s">
        <v>6</v>
      </c>
      <c r="B11" s="11" t="s">
        <v>6</v>
      </c>
      <c r="C11" s="77" t="s">
        <v>304</v>
      </c>
      <c r="D11" s="78"/>
      <c r="E11" s="79"/>
      <c r="F11" s="11" t="s">
        <v>6</v>
      </c>
      <c r="G11" s="11" t="s">
        <v>6</v>
      </c>
      <c r="H11" s="20" t="s">
        <v>679</v>
      </c>
      <c r="I11" s="21" t="s">
        <v>684</v>
      </c>
      <c r="J11" s="22" t="s">
        <v>686</v>
      </c>
      <c r="K11" s="23" t="s">
        <v>687</v>
      </c>
      <c r="L11" s="25" t="s">
        <v>689</v>
      </c>
      <c r="M11" s="31"/>
      <c r="Z11" s="28" t="s">
        <v>692</v>
      </c>
      <c r="AA11" s="28" t="s">
        <v>693</v>
      </c>
      <c r="AB11" s="28" t="s">
        <v>694</v>
      </c>
      <c r="AC11" s="28" t="s">
        <v>695</v>
      </c>
      <c r="AD11" s="28" t="s">
        <v>696</v>
      </c>
      <c r="AE11" s="28" t="s">
        <v>697</v>
      </c>
      <c r="AF11" s="28" t="s">
        <v>698</v>
      </c>
      <c r="AG11" s="28" t="s">
        <v>699</v>
      </c>
      <c r="AH11" s="28" t="s">
        <v>700</v>
      </c>
      <c r="BH11" s="28" t="s">
        <v>740</v>
      </c>
      <c r="BI11" s="28" t="s">
        <v>741</v>
      </c>
      <c r="BJ11" s="28" t="s">
        <v>742</v>
      </c>
    </row>
    <row r="12" spans="1:62" x14ac:dyDescent="0.2">
      <c r="A12" s="3"/>
      <c r="B12" s="12" t="s">
        <v>7</v>
      </c>
      <c r="C12" s="80" t="s">
        <v>305</v>
      </c>
      <c r="D12" s="81"/>
      <c r="E12" s="81"/>
      <c r="F12" s="3" t="s">
        <v>6</v>
      </c>
      <c r="G12" s="3" t="s">
        <v>6</v>
      </c>
      <c r="H12" s="3" t="s">
        <v>6</v>
      </c>
      <c r="I12" s="34">
        <f>SUM(I13:I13)</f>
        <v>0</v>
      </c>
      <c r="J12" s="34">
        <f>SUM(J13:J13)</f>
        <v>0</v>
      </c>
      <c r="K12" s="34">
        <f>SUM(K13:K13)</f>
        <v>0</v>
      </c>
      <c r="L12" s="26"/>
      <c r="AI12" s="28"/>
      <c r="AS12" s="35">
        <f>SUM(AJ13:AJ13)</f>
        <v>0</v>
      </c>
      <c r="AT12" s="35">
        <f>SUM(AK13:AK13)</f>
        <v>0</v>
      </c>
      <c r="AU12" s="35">
        <f>SUM(AL13:AL13)</f>
        <v>0</v>
      </c>
    </row>
    <row r="13" spans="1:62" x14ac:dyDescent="0.2">
      <c r="A13" s="4" t="s">
        <v>7</v>
      </c>
      <c r="B13" s="4" t="s">
        <v>148</v>
      </c>
      <c r="C13" s="60" t="s">
        <v>306</v>
      </c>
      <c r="D13" s="61"/>
      <c r="E13" s="61"/>
      <c r="F13" s="4" t="s">
        <v>667</v>
      </c>
      <c r="G13" s="15">
        <v>35.1</v>
      </c>
      <c r="H13" s="15">
        <v>0</v>
      </c>
      <c r="I13" s="15">
        <f>G13*AO13</f>
        <v>0</v>
      </c>
      <c r="J13" s="15">
        <f>G13*AP13</f>
        <v>0</v>
      </c>
      <c r="K13" s="15">
        <f>G13*H13</f>
        <v>0</v>
      </c>
      <c r="L13" s="27" t="s">
        <v>690</v>
      </c>
      <c r="Z13" s="32">
        <f>IF(AQ13="5",BJ13,0)</f>
        <v>0</v>
      </c>
      <c r="AB13" s="32">
        <f>IF(AQ13="1",BH13,0)</f>
        <v>0</v>
      </c>
      <c r="AC13" s="32">
        <f>IF(AQ13="1",BI13,0)</f>
        <v>0</v>
      </c>
      <c r="AD13" s="32">
        <f>IF(AQ13="7",BH13,0)</f>
        <v>0</v>
      </c>
      <c r="AE13" s="32">
        <f>IF(AQ13="7",BI13,0)</f>
        <v>0</v>
      </c>
      <c r="AF13" s="32">
        <f>IF(AQ13="2",BH13,0)</f>
        <v>0</v>
      </c>
      <c r="AG13" s="32">
        <f>IF(AQ13="2",BI13,0)</f>
        <v>0</v>
      </c>
      <c r="AH13" s="32">
        <f>IF(AQ13="0",BJ13,0)</f>
        <v>0</v>
      </c>
      <c r="AI13" s="28"/>
      <c r="AJ13" s="15">
        <f>IF(AN13=0,K13,0)</f>
        <v>0</v>
      </c>
      <c r="AK13" s="15">
        <f>IF(AN13=15,K13,0)</f>
        <v>0</v>
      </c>
      <c r="AL13" s="15">
        <f>IF(AN13=21,K13,0)</f>
        <v>0</v>
      </c>
      <c r="AN13" s="32">
        <v>21</v>
      </c>
      <c r="AO13" s="32">
        <f>H13*0</f>
        <v>0</v>
      </c>
      <c r="AP13" s="32">
        <f>H13*(1-0)</f>
        <v>0</v>
      </c>
      <c r="AQ13" s="27" t="s">
        <v>7</v>
      </c>
      <c r="AV13" s="32">
        <f>AW13+AX13</f>
        <v>0</v>
      </c>
      <c r="AW13" s="32">
        <f>G13*AO13</f>
        <v>0</v>
      </c>
      <c r="AX13" s="32">
        <f>G13*AP13</f>
        <v>0</v>
      </c>
      <c r="AY13" s="33" t="s">
        <v>701</v>
      </c>
      <c r="AZ13" s="33" t="s">
        <v>701</v>
      </c>
      <c r="BA13" s="28" t="s">
        <v>739</v>
      </c>
      <c r="BC13" s="32">
        <f>AW13+AX13</f>
        <v>0</v>
      </c>
      <c r="BD13" s="32">
        <f>H13/(100-BE13)*100</f>
        <v>0</v>
      </c>
      <c r="BE13" s="32">
        <v>0</v>
      </c>
      <c r="BF13" s="32">
        <f>13</f>
        <v>13</v>
      </c>
      <c r="BH13" s="15">
        <f>G13*AO13</f>
        <v>0</v>
      </c>
      <c r="BI13" s="15">
        <f>G13*AP13</f>
        <v>0</v>
      </c>
      <c r="BJ13" s="15">
        <f>G13*H13</f>
        <v>0</v>
      </c>
    </row>
    <row r="14" spans="1:62" x14ac:dyDescent="0.2">
      <c r="C14" s="58" t="s">
        <v>307</v>
      </c>
      <c r="D14" s="59"/>
      <c r="E14" s="59"/>
      <c r="G14" s="16">
        <v>35.1</v>
      </c>
    </row>
    <row r="15" spans="1:62" x14ac:dyDescent="0.2">
      <c r="A15" s="5"/>
      <c r="B15" s="13" t="s">
        <v>19</v>
      </c>
      <c r="C15" s="66" t="s">
        <v>308</v>
      </c>
      <c r="D15" s="67"/>
      <c r="E15" s="67"/>
      <c r="F15" s="5" t="s">
        <v>6</v>
      </c>
      <c r="G15" s="5" t="s">
        <v>6</v>
      </c>
      <c r="H15" s="5" t="s">
        <v>6</v>
      </c>
      <c r="I15" s="35">
        <f>SUM(I16:I16)</f>
        <v>0</v>
      </c>
      <c r="J15" s="35">
        <f>SUM(J16:J16)</f>
        <v>0</v>
      </c>
      <c r="K15" s="35">
        <f>SUM(K16:K16)</f>
        <v>0</v>
      </c>
      <c r="L15" s="28"/>
      <c r="AI15" s="28"/>
      <c r="AS15" s="35">
        <f>SUM(AJ16:AJ16)</f>
        <v>0</v>
      </c>
      <c r="AT15" s="35">
        <f>SUM(AK16:AK16)</f>
        <v>0</v>
      </c>
      <c r="AU15" s="35">
        <f>SUM(AL16:AL16)</f>
        <v>0</v>
      </c>
    </row>
    <row r="16" spans="1:62" x14ac:dyDescent="0.2">
      <c r="A16" s="4" t="s">
        <v>8</v>
      </c>
      <c r="B16" s="4" t="s">
        <v>149</v>
      </c>
      <c r="C16" s="60" t="s">
        <v>309</v>
      </c>
      <c r="D16" s="61"/>
      <c r="E16" s="61"/>
      <c r="F16" s="4" t="s">
        <v>668</v>
      </c>
      <c r="G16" s="15">
        <v>17.55</v>
      </c>
      <c r="H16" s="15">
        <v>0</v>
      </c>
      <c r="I16" s="15">
        <f>G16*AO16</f>
        <v>0</v>
      </c>
      <c r="J16" s="15">
        <f>G16*AP16</f>
        <v>0</v>
      </c>
      <c r="K16" s="15">
        <f>G16*H16</f>
        <v>0</v>
      </c>
      <c r="L16" s="27" t="s">
        <v>690</v>
      </c>
      <c r="Z16" s="32">
        <f>IF(AQ16="5",BJ16,0)</f>
        <v>0</v>
      </c>
      <c r="AB16" s="32">
        <f>IF(AQ16="1",BH16,0)</f>
        <v>0</v>
      </c>
      <c r="AC16" s="32">
        <f>IF(AQ16="1",BI16,0)</f>
        <v>0</v>
      </c>
      <c r="AD16" s="32">
        <f>IF(AQ16="7",BH16,0)</f>
        <v>0</v>
      </c>
      <c r="AE16" s="32">
        <f>IF(AQ16="7",BI16,0)</f>
        <v>0</v>
      </c>
      <c r="AF16" s="32">
        <f>IF(AQ16="2",BH16,0)</f>
        <v>0</v>
      </c>
      <c r="AG16" s="32">
        <f>IF(AQ16="2",BI16,0)</f>
        <v>0</v>
      </c>
      <c r="AH16" s="32">
        <f>IF(AQ16="0",BJ16,0)</f>
        <v>0</v>
      </c>
      <c r="AI16" s="28"/>
      <c r="AJ16" s="15">
        <f>IF(AN16=0,K16,0)</f>
        <v>0</v>
      </c>
      <c r="AK16" s="15">
        <f>IF(AN16=15,K16,0)</f>
        <v>0</v>
      </c>
      <c r="AL16" s="15">
        <f>IF(AN16=21,K16,0)</f>
        <v>0</v>
      </c>
      <c r="AN16" s="32">
        <v>21</v>
      </c>
      <c r="AO16" s="32">
        <f>H16*0</f>
        <v>0</v>
      </c>
      <c r="AP16" s="32">
        <f>H16*(1-0)</f>
        <v>0</v>
      </c>
      <c r="AQ16" s="27" t="s">
        <v>7</v>
      </c>
      <c r="AV16" s="32">
        <f>AW16+AX16</f>
        <v>0</v>
      </c>
      <c r="AW16" s="32">
        <f>G16*AO16</f>
        <v>0</v>
      </c>
      <c r="AX16" s="32">
        <f>G16*AP16</f>
        <v>0</v>
      </c>
      <c r="AY16" s="33" t="s">
        <v>702</v>
      </c>
      <c r="AZ16" s="33" t="s">
        <v>701</v>
      </c>
      <c r="BA16" s="28" t="s">
        <v>739</v>
      </c>
      <c r="BC16" s="32">
        <f>AW16+AX16</f>
        <v>0</v>
      </c>
      <c r="BD16" s="32">
        <f>H16/(100-BE16)*100</f>
        <v>0</v>
      </c>
      <c r="BE16" s="32">
        <v>0</v>
      </c>
      <c r="BF16" s="32">
        <f>16</f>
        <v>16</v>
      </c>
      <c r="BH16" s="15">
        <f>G16*AO16</f>
        <v>0</v>
      </c>
      <c r="BI16" s="15">
        <f>G16*AP16</f>
        <v>0</v>
      </c>
      <c r="BJ16" s="15">
        <f>G16*H16</f>
        <v>0</v>
      </c>
    </row>
    <row r="17" spans="1:62" x14ac:dyDescent="0.2">
      <c r="C17" s="58" t="s">
        <v>310</v>
      </c>
      <c r="D17" s="59"/>
      <c r="E17" s="59"/>
      <c r="G17" s="16">
        <v>17.55</v>
      </c>
    </row>
    <row r="18" spans="1:62" x14ac:dyDescent="0.2">
      <c r="A18" s="5"/>
      <c r="B18" s="13" t="s">
        <v>22</v>
      </c>
      <c r="C18" s="66" t="s">
        <v>311</v>
      </c>
      <c r="D18" s="67"/>
      <c r="E18" s="67"/>
      <c r="F18" s="5" t="s">
        <v>6</v>
      </c>
      <c r="G18" s="5" t="s">
        <v>6</v>
      </c>
      <c r="H18" s="5" t="s">
        <v>6</v>
      </c>
      <c r="I18" s="35">
        <f>SUM(I19:I22)</f>
        <v>0</v>
      </c>
      <c r="J18" s="35">
        <f>SUM(J19:J22)</f>
        <v>0</v>
      </c>
      <c r="K18" s="35">
        <f>SUM(K19:K22)</f>
        <v>0</v>
      </c>
      <c r="L18" s="28"/>
      <c r="AI18" s="28"/>
      <c r="AS18" s="35">
        <f>SUM(AJ19:AJ22)</f>
        <v>0</v>
      </c>
      <c r="AT18" s="35">
        <f>SUM(AK19:AK22)</f>
        <v>0</v>
      </c>
      <c r="AU18" s="35">
        <f>SUM(AL19:AL22)</f>
        <v>0</v>
      </c>
    </row>
    <row r="19" spans="1:62" x14ac:dyDescent="0.2">
      <c r="A19" s="4" t="s">
        <v>9</v>
      </c>
      <c r="B19" s="4" t="s">
        <v>150</v>
      </c>
      <c r="C19" s="60" t="s">
        <v>312</v>
      </c>
      <c r="D19" s="61"/>
      <c r="E19" s="61"/>
      <c r="F19" s="4" t="s">
        <v>668</v>
      </c>
      <c r="G19" s="15">
        <v>4.9139999999999997</v>
      </c>
      <c r="H19" s="15">
        <v>0</v>
      </c>
      <c r="I19" s="15">
        <f>G19*AO19</f>
        <v>0</v>
      </c>
      <c r="J19" s="15">
        <f>G19*AP19</f>
        <v>0</v>
      </c>
      <c r="K19" s="15">
        <f>G19*H19</f>
        <v>0</v>
      </c>
      <c r="L19" s="27" t="s">
        <v>690</v>
      </c>
      <c r="Z19" s="32">
        <f>IF(AQ19="5",BJ19,0)</f>
        <v>0</v>
      </c>
      <c r="AB19" s="32">
        <f>IF(AQ19="1",BH19,0)</f>
        <v>0</v>
      </c>
      <c r="AC19" s="32">
        <f>IF(AQ19="1",BI19,0)</f>
        <v>0</v>
      </c>
      <c r="AD19" s="32">
        <f>IF(AQ19="7",BH19,0)</f>
        <v>0</v>
      </c>
      <c r="AE19" s="32">
        <f>IF(AQ19="7",BI19,0)</f>
        <v>0</v>
      </c>
      <c r="AF19" s="32">
        <f>IF(AQ19="2",BH19,0)</f>
        <v>0</v>
      </c>
      <c r="AG19" s="32">
        <f>IF(AQ19="2",BI19,0)</f>
        <v>0</v>
      </c>
      <c r="AH19" s="32">
        <f>IF(AQ19="0",BJ19,0)</f>
        <v>0</v>
      </c>
      <c r="AI19" s="28"/>
      <c r="AJ19" s="15">
        <f>IF(AN19=0,K19,0)</f>
        <v>0</v>
      </c>
      <c r="AK19" s="15">
        <f>IF(AN19=15,K19,0)</f>
        <v>0</v>
      </c>
      <c r="AL19" s="15">
        <f>IF(AN19=21,K19,0)</f>
        <v>0</v>
      </c>
      <c r="AN19" s="32">
        <v>21</v>
      </c>
      <c r="AO19" s="32">
        <f>H19*0</f>
        <v>0</v>
      </c>
      <c r="AP19" s="32">
        <f>H19*(1-0)</f>
        <v>0</v>
      </c>
      <c r="AQ19" s="27" t="s">
        <v>7</v>
      </c>
      <c r="AV19" s="32">
        <f>AW19+AX19</f>
        <v>0</v>
      </c>
      <c r="AW19" s="32">
        <f>G19*AO19</f>
        <v>0</v>
      </c>
      <c r="AX19" s="32">
        <f>G19*AP19</f>
        <v>0</v>
      </c>
      <c r="AY19" s="33" t="s">
        <v>703</v>
      </c>
      <c r="AZ19" s="33" t="s">
        <v>701</v>
      </c>
      <c r="BA19" s="28" t="s">
        <v>739</v>
      </c>
      <c r="BC19" s="32">
        <f>AW19+AX19</f>
        <v>0</v>
      </c>
      <c r="BD19" s="32">
        <f>H19/(100-BE19)*100</f>
        <v>0</v>
      </c>
      <c r="BE19" s="32">
        <v>0</v>
      </c>
      <c r="BF19" s="32">
        <f>19</f>
        <v>19</v>
      </c>
      <c r="BH19" s="15">
        <f>G19*AO19</f>
        <v>0</v>
      </c>
      <c r="BI19" s="15">
        <f>G19*AP19</f>
        <v>0</v>
      </c>
      <c r="BJ19" s="15">
        <f>G19*H19</f>
        <v>0</v>
      </c>
    </row>
    <row r="20" spans="1:62" x14ac:dyDescent="0.2">
      <c r="C20" s="58" t="s">
        <v>313</v>
      </c>
      <c r="D20" s="59"/>
      <c r="E20" s="59"/>
      <c r="G20" s="16">
        <v>17.55</v>
      </c>
    </row>
    <row r="21" spans="1:62" x14ac:dyDescent="0.2">
      <c r="C21" s="58" t="s">
        <v>314</v>
      </c>
      <c r="D21" s="59"/>
      <c r="E21" s="59"/>
      <c r="G21" s="16">
        <v>-12.635999999999999</v>
      </c>
    </row>
    <row r="22" spans="1:62" x14ac:dyDescent="0.2">
      <c r="A22" s="4" t="s">
        <v>10</v>
      </c>
      <c r="B22" s="4" t="s">
        <v>151</v>
      </c>
      <c r="C22" s="60" t="s">
        <v>315</v>
      </c>
      <c r="D22" s="61"/>
      <c r="E22" s="61"/>
      <c r="F22" s="4" t="s">
        <v>668</v>
      </c>
      <c r="G22" s="15">
        <v>4.9139999999999997</v>
      </c>
      <c r="H22" s="15">
        <v>0</v>
      </c>
      <c r="I22" s="15">
        <f>G22*AO22</f>
        <v>0</v>
      </c>
      <c r="J22" s="15">
        <f>G22*AP22</f>
        <v>0</v>
      </c>
      <c r="K22" s="15">
        <f>G22*H22</f>
        <v>0</v>
      </c>
      <c r="L22" s="27" t="s">
        <v>690</v>
      </c>
      <c r="Z22" s="32">
        <f>IF(AQ22="5",BJ22,0)</f>
        <v>0</v>
      </c>
      <c r="AB22" s="32">
        <f>IF(AQ22="1",BH22,0)</f>
        <v>0</v>
      </c>
      <c r="AC22" s="32">
        <f>IF(AQ22="1",BI22,0)</f>
        <v>0</v>
      </c>
      <c r="AD22" s="32">
        <f>IF(AQ22="7",BH22,0)</f>
        <v>0</v>
      </c>
      <c r="AE22" s="32">
        <f>IF(AQ22="7",BI22,0)</f>
        <v>0</v>
      </c>
      <c r="AF22" s="32">
        <f>IF(AQ22="2",BH22,0)</f>
        <v>0</v>
      </c>
      <c r="AG22" s="32">
        <f>IF(AQ22="2",BI22,0)</f>
        <v>0</v>
      </c>
      <c r="AH22" s="32">
        <f>IF(AQ22="0",BJ22,0)</f>
        <v>0</v>
      </c>
      <c r="AI22" s="28"/>
      <c r="AJ22" s="15">
        <f>IF(AN22=0,K22,0)</f>
        <v>0</v>
      </c>
      <c r="AK22" s="15">
        <f>IF(AN22=15,K22,0)</f>
        <v>0</v>
      </c>
      <c r="AL22" s="15">
        <f>IF(AN22=21,K22,0)</f>
        <v>0</v>
      </c>
      <c r="AN22" s="32">
        <v>21</v>
      </c>
      <c r="AO22" s="32">
        <f>H22*0</f>
        <v>0</v>
      </c>
      <c r="AP22" s="32">
        <f>H22*(1-0)</f>
        <v>0</v>
      </c>
      <c r="AQ22" s="27" t="s">
        <v>7</v>
      </c>
      <c r="AV22" s="32">
        <f>AW22+AX22</f>
        <v>0</v>
      </c>
      <c r="AW22" s="32">
        <f>G22*AO22</f>
        <v>0</v>
      </c>
      <c r="AX22" s="32">
        <f>G22*AP22</f>
        <v>0</v>
      </c>
      <c r="AY22" s="33" t="s">
        <v>703</v>
      </c>
      <c r="AZ22" s="33" t="s">
        <v>701</v>
      </c>
      <c r="BA22" s="28" t="s">
        <v>739</v>
      </c>
      <c r="BC22" s="32">
        <f>AW22+AX22</f>
        <v>0</v>
      </c>
      <c r="BD22" s="32">
        <f>H22/(100-BE22)*100</f>
        <v>0</v>
      </c>
      <c r="BE22" s="32">
        <v>0</v>
      </c>
      <c r="BF22" s="32">
        <f>22</f>
        <v>22</v>
      </c>
      <c r="BH22" s="15">
        <f>G22*AO22</f>
        <v>0</v>
      </c>
      <c r="BI22" s="15">
        <f>G22*AP22</f>
        <v>0</v>
      </c>
      <c r="BJ22" s="15">
        <f>G22*H22</f>
        <v>0</v>
      </c>
    </row>
    <row r="23" spans="1:62" x14ac:dyDescent="0.2">
      <c r="C23" s="58" t="s">
        <v>316</v>
      </c>
      <c r="D23" s="59"/>
      <c r="E23" s="59"/>
      <c r="G23" s="16">
        <v>4.9139999999999997</v>
      </c>
    </row>
    <row r="24" spans="1:62" x14ac:dyDescent="0.2">
      <c r="A24" s="5"/>
      <c r="B24" s="13" t="s">
        <v>23</v>
      </c>
      <c r="C24" s="66" t="s">
        <v>317</v>
      </c>
      <c r="D24" s="67"/>
      <c r="E24" s="67"/>
      <c r="F24" s="5" t="s">
        <v>6</v>
      </c>
      <c r="G24" s="5" t="s">
        <v>6</v>
      </c>
      <c r="H24" s="5" t="s">
        <v>6</v>
      </c>
      <c r="I24" s="35">
        <f>SUM(I25:I30)</f>
        <v>0</v>
      </c>
      <c r="J24" s="35">
        <f>SUM(J25:J30)</f>
        <v>0</v>
      </c>
      <c r="K24" s="35">
        <f>SUM(K25:K30)</f>
        <v>0</v>
      </c>
      <c r="L24" s="28"/>
      <c r="AI24" s="28"/>
      <c r="AS24" s="35">
        <f>SUM(AJ25:AJ30)</f>
        <v>0</v>
      </c>
      <c r="AT24" s="35">
        <f>SUM(AK25:AK30)</f>
        <v>0</v>
      </c>
      <c r="AU24" s="35">
        <f>SUM(AL25:AL30)</f>
        <v>0</v>
      </c>
    </row>
    <row r="25" spans="1:62" x14ac:dyDescent="0.2">
      <c r="A25" s="4" t="s">
        <v>11</v>
      </c>
      <c r="B25" s="4" t="s">
        <v>152</v>
      </c>
      <c r="C25" s="60" t="s">
        <v>318</v>
      </c>
      <c r="D25" s="61"/>
      <c r="E25" s="61"/>
      <c r="F25" s="4" t="s">
        <v>668</v>
      </c>
      <c r="G25" s="15">
        <v>12.635999999999999</v>
      </c>
      <c r="H25" s="15">
        <v>0</v>
      </c>
      <c r="I25" s="15">
        <f>G25*AO25</f>
        <v>0</v>
      </c>
      <c r="J25" s="15">
        <f>G25*AP25</f>
        <v>0</v>
      </c>
      <c r="K25" s="15">
        <f>G25*H25</f>
        <v>0</v>
      </c>
      <c r="L25" s="27" t="s">
        <v>690</v>
      </c>
      <c r="Z25" s="32">
        <f>IF(AQ25="5",BJ25,0)</f>
        <v>0</v>
      </c>
      <c r="AB25" s="32">
        <f>IF(AQ25="1",BH25,0)</f>
        <v>0</v>
      </c>
      <c r="AC25" s="32">
        <f>IF(AQ25="1",BI25,0)</f>
        <v>0</v>
      </c>
      <c r="AD25" s="32">
        <f>IF(AQ25="7",BH25,0)</f>
        <v>0</v>
      </c>
      <c r="AE25" s="32">
        <f>IF(AQ25="7",BI25,0)</f>
        <v>0</v>
      </c>
      <c r="AF25" s="32">
        <f>IF(AQ25="2",BH25,0)</f>
        <v>0</v>
      </c>
      <c r="AG25" s="32">
        <f>IF(AQ25="2",BI25,0)</f>
        <v>0</v>
      </c>
      <c r="AH25" s="32">
        <f>IF(AQ25="0",BJ25,0)</f>
        <v>0</v>
      </c>
      <c r="AI25" s="28"/>
      <c r="AJ25" s="15">
        <f>IF(AN25=0,K25,0)</f>
        <v>0</v>
      </c>
      <c r="AK25" s="15">
        <f>IF(AN25=15,K25,0)</f>
        <v>0</v>
      </c>
      <c r="AL25" s="15">
        <f>IF(AN25=21,K25,0)</f>
        <v>0</v>
      </c>
      <c r="AN25" s="32">
        <v>21</v>
      </c>
      <c r="AO25" s="32">
        <f>H25*0</f>
        <v>0</v>
      </c>
      <c r="AP25" s="32">
        <f>H25*(1-0)</f>
        <v>0</v>
      </c>
      <c r="AQ25" s="27" t="s">
        <v>7</v>
      </c>
      <c r="AV25" s="32">
        <f>AW25+AX25</f>
        <v>0</v>
      </c>
      <c r="AW25" s="32">
        <f>G25*AO25</f>
        <v>0</v>
      </c>
      <c r="AX25" s="32">
        <f>G25*AP25</f>
        <v>0</v>
      </c>
      <c r="AY25" s="33" t="s">
        <v>704</v>
      </c>
      <c r="AZ25" s="33" t="s">
        <v>701</v>
      </c>
      <c r="BA25" s="28" t="s">
        <v>739</v>
      </c>
      <c r="BC25" s="32">
        <f>AW25+AX25</f>
        <v>0</v>
      </c>
      <c r="BD25" s="32">
        <f>H25/(100-BE25)*100</f>
        <v>0</v>
      </c>
      <c r="BE25" s="32">
        <v>0</v>
      </c>
      <c r="BF25" s="32">
        <f>25</f>
        <v>25</v>
      </c>
      <c r="BH25" s="15">
        <f>G25*AO25</f>
        <v>0</v>
      </c>
      <c r="BI25" s="15">
        <f>G25*AP25</f>
        <v>0</v>
      </c>
      <c r="BJ25" s="15">
        <f>G25*H25</f>
        <v>0</v>
      </c>
    </row>
    <row r="26" spans="1:62" x14ac:dyDescent="0.2">
      <c r="C26" s="58" t="s">
        <v>319</v>
      </c>
      <c r="D26" s="59"/>
      <c r="E26" s="59"/>
      <c r="G26" s="16">
        <v>17.55</v>
      </c>
    </row>
    <row r="27" spans="1:62" x14ac:dyDescent="0.2">
      <c r="C27" s="58" t="s">
        <v>320</v>
      </c>
      <c r="D27" s="59"/>
      <c r="E27" s="59"/>
      <c r="G27" s="16">
        <v>-4.9139999999999997</v>
      </c>
    </row>
    <row r="28" spans="1:62" x14ac:dyDescent="0.2">
      <c r="A28" s="4" t="s">
        <v>12</v>
      </c>
      <c r="B28" s="4" t="s">
        <v>153</v>
      </c>
      <c r="C28" s="60" t="s">
        <v>321</v>
      </c>
      <c r="D28" s="61"/>
      <c r="E28" s="61"/>
      <c r="F28" s="4" t="s">
        <v>668</v>
      </c>
      <c r="G28" s="15">
        <v>4.9139999999999997</v>
      </c>
      <c r="H28" s="15">
        <v>0</v>
      </c>
      <c r="I28" s="15">
        <f>G28*AO28</f>
        <v>0</v>
      </c>
      <c r="J28" s="15">
        <f>G28*AP28</f>
        <v>0</v>
      </c>
      <c r="K28" s="15">
        <f>G28*H28</f>
        <v>0</v>
      </c>
      <c r="L28" s="27" t="s">
        <v>690</v>
      </c>
      <c r="Z28" s="32">
        <f>IF(AQ28="5",BJ28,0)</f>
        <v>0</v>
      </c>
      <c r="AB28" s="32">
        <f>IF(AQ28="1",BH28,0)</f>
        <v>0</v>
      </c>
      <c r="AC28" s="32">
        <f>IF(AQ28="1",BI28,0)</f>
        <v>0</v>
      </c>
      <c r="AD28" s="32">
        <f>IF(AQ28="7",BH28,0)</f>
        <v>0</v>
      </c>
      <c r="AE28" s="32">
        <f>IF(AQ28="7",BI28,0)</f>
        <v>0</v>
      </c>
      <c r="AF28" s="32">
        <f>IF(AQ28="2",BH28,0)</f>
        <v>0</v>
      </c>
      <c r="AG28" s="32">
        <f>IF(AQ28="2",BI28,0)</f>
        <v>0</v>
      </c>
      <c r="AH28" s="32">
        <f>IF(AQ28="0",BJ28,0)</f>
        <v>0</v>
      </c>
      <c r="AI28" s="28"/>
      <c r="AJ28" s="15">
        <f>IF(AN28=0,K28,0)</f>
        <v>0</v>
      </c>
      <c r="AK28" s="15">
        <f>IF(AN28=15,K28,0)</f>
        <v>0</v>
      </c>
      <c r="AL28" s="15">
        <f>IF(AN28=21,K28,0)</f>
        <v>0</v>
      </c>
      <c r="AN28" s="32">
        <v>21</v>
      </c>
      <c r="AO28" s="32">
        <f>H28*0</f>
        <v>0</v>
      </c>
      <c r="AP28" s="32">
        <f>H28*(1-0)</f>
        <v>0</v>
      </c>
      <c r="AQ28" s="27" t="s">
        <v>7</v>
      </c>
      <c r="AV28" s="32">
        <f>AW28+AX28</f>
        <v>0</v>
      </c>
      <c r="AW28" s="32">
        <f>G28*AO28</f>
        <v>0</v>
      </c>
      <c r="AX28" s="32">
        <f>G28*AP28</f>
        <v>0</v>
      </c>
      <c r="AY28" s="33" t="s">
        <v>704</v>
      </c>
      <c r="AZ28" s="33" t="s">
        <v>701</v>
      </c>
      <c r="BA28" s="28" t="s">
        <v>739</v>
      </c>
      <c r="BC28" s="32">
        <f>AW28+AX28</f>
        <v>0</v>
      </c>
      <c r="BD28" s="32">
        <f>H28/(100-BE28)*100</f>
        <v>0</v>
      </c>
      <c r="BE28" s="32">
        <v>0</v>
      </c>
      <c r="BF28" s="32">
        <f>28</f>
        <v>28</v>
      </c>
      <c r="BH28" s="15">
        <f>G28*AO28</f>
        <v>0</v>
      </c>
      <c r="BI28" s="15">
        <f>G28*AP28</f>
        <v>0</v>
      </c>
      <c r="BJ28" s="15">
        <f>G28*H28</f>
        <v>0</v>
      </c>
    </row>
    <row r="29" spans="1:62" x14ac:dyDescent="0.2">
      <c r="C29" s="58" t="s">
        <v>316</v>
      </c>
      <c r="D29" s="59"/>
      <c r="E29" s="59"/>
      <c r="G29" s="16">
        <v>4.9139999999999997</v>
      </c>
    </row>
    <row r="30" spans="1:62" x14ac:dyDescent="0.2">
      <c r="A30" s="4" t="s">
        <v>13</v>
      </c>
      <c r="B30" s="4" t="s">
        <v>154</v>
      </c>
      <c r="C30" s="60" t="s">
        <v>322</v>
      </c>
      <c r="D30" s="61"/>
      <c r="E30" s="61"/>
      <c r="F30" s="4" t="s">
        <v>668</v>
      </c>
      <c r="G30" s="15">
        <v>4.9139999999999997</v>
      </c>
      <c r="H30" s="15">
        <v>0</v>
      </c>
      <c r="I30" s="15">
        <f>G30*AO30</f>
        <v>0</v>
      </c>
      <c r="J30" s="15">
        <f>G30*AP30</f>
        <v>0</v>
      </c>
      <c r="K30" s="15">
        <f>G30*H30</f>
        <v>0</v>
      </c>
      <c r="L30" s="27" t="s">
        <v>690</v>
      </c>
      <c r="Z30" s="32">
        <f>IF(AQ30="5",BJ30,0)</f>
        <v>0</v>
      </c>
      <c r="AB30" s="32">
        <f>IF(AQ30="1",BH30,0)</f>
        <v>0</v>
      </c>
      <c r="AC30" s="32">
        <f>IF(AQ30="1",BI30,0)</f>
        <v>0</v>
      </c>
      <c r="AD30" s="32">
        <f>IF(AQ30="7",BH30,0)</f>
        <v>0</v>
      </c>
      <c r="AE30" s="32">
        <f>IF(AQ30="7",BI30,0)</f>
        <v>0</v>
      </c>
      <c r="AF30" s="32">
        <f>IF(AQ30="2",BH30,0)</f>
        <v>0</v>
      </c>
      <c r="AG30" s="32">
        <f>IF(AQ30="2",BI30,0)</f>
        <v>0</v>
      </c>
      <c r="AH30" s="32">
        <f>IF(AQ30="0",BJ30,0)</f>
        <v>0</v>
      </c>
      <c r="AI30" s="28"/>
      <c r="AJ30" s="15">
        <f>IF(AN30=0,K30,0)</f>
        <v>0</v>
      </c>
      <c r="AK30" s="15">
        <f>IF(AN30=15,K30,0)</f>
        <v>0</v>
      </c>
      <c r="AL30" s="15">
        <f>IF(AN30=21,K30,0)</f>
        <v>0</v>
      </c>
      <c r="AN30" s="32">
        <v>21</v>
      </c>
      <c r="AO30" s="32">
        <f>H30*0</f>
        <v>0</v>
      </c>
      <c r="AP30" s="32">
        <f>H30*(1-0)</f>
        <v>0</v>
      </c>
      <c r="AQ30" s="27" t="s">
        <v>7</v>
      </c>
      <c r="AV30" s="32">
        <f>AW30+AX30</f>
        <v>0</v>
      </c>
      <c r="AW30" s="32">
        <f>G30*AO30</f>
        <v>0</v>
      </c>
      <c r="AX30" s="32">
        <f>G30*AP30</f>
        <v>0</v>
      </c>
      <c r="AY30" s="33" t="s">
        <v>704</v>
      </c>
      <c r="AZ30" s="33" t="s">
        <v>701</v>
      </c>
      <c r="BA30" s="28" t="s">
        <v>739</v>
      </c>
      <c r="BC30" s="32">
        <f>AW30+AX30</f>
        <v>0</v>
      </c>
      <c r="BD30" s="32">
        <f>H30/(100-BE30)*100</f>
        <v>0</v>
      </c>
      <c r="BE30" s="32">
        <v>0</v>
      </c>
      <c r="BF30" s="32">
        <f>30</f>
        <v>30</v>
      </c>
      <c r="BH30" s="15">
        <f>G30*AO30</f>
        <v>0</v>
      </c>
      <c r="BI30" s="15">
        <f>G30*AP30</f>
        <v>0</v>
      </c>
      <c r="BJ30" s="15">
        <f>G30*H30</f>
        <v>0</v>
      </c>
    </row>
    <row r="31" spans="1:62" x14ac:dyDescent="0.2">
      <c r="C31" s="58" t="s">
        <v>323</v>
      </c>
      <c r="D31" s="59"/>
      <c r="E31" s="59"/>
      <c r="G31" s="16">
        <v>4.9139999999999997</v>
      </c>
    </row>
    <row r="32" spans="1:62" x14ac:dyDescent="0.2">
      <c r="A32" s="5"/>
      <c r="B32" s="13" t="s">
        <v>8</v>
      </c>
      <c r="C32" s="66" t="s">
        <v>324</v>
      </c>
      <c r="D32" s="67"/>
      <c r="E32" s="67"/>
      <c r="F32" s="5" t="s">
        <v>6</v>
      </c>
      <c r="G32" s="5" t="s">
        <v>6</v>
      </c>
      <c r="H32" s="5" t="s">
        <v>6</v>
      </c>
      <c r="I32" s="35">
        <f>SUM(I33:I33)</f>
        <v>0</v>
      </c>
      <c r="J32" s="35">
        <f>SUM(J33:J33)</f>
        <v>0</v>
      </c>
      <c r="K32" s="35">
        <f>SUM(K33:K33)</f>
        <v>0</v>
      </c>
      <c r="L32" s="28"/>
      <c r="AI32" s="28"/>
      <c r="AS32" s="35">
        <f>SUM(AJ33:AJ33)</f>
        <v>0</v>
      </c>
      <c r="AT32" s="35">
        <f>SUM(AK33:AK33)</f>
        <v>0</v>
      </c>
      <c r="AU32" s="35">
        <f>SUM(AL33:AL33)</f>
        <v>0</v>
      </c>
    </row>
    <row r="33" spans="1:62" x14ac:dyDescent="0.2">
      <c r="A33" s="4" t="s">
        <v>14</v>
      </c>
      <c r="B33" s="4" t="s">
        <v>155</v>
      </c>
      <c r="C33" s="60" t="s">
        <v>325</v>
      </c>
      <c r="D33" s="61"/>
      <c r="E33" s="61"/>
      <c r="F33" s="4" t="s">
        <v>669</v>
      </c>
      <c r="G33" s="15">
        <v>1</v>
      </c>
      <c r="H33" s="15">
        <v>0</v>
      </c>
      <c r="I33" s="15">
        <f>G33*AO33</f>
        <v>0</v>
      </c>
      <c r="J33" s="15">
        <f>G33*AP33</f>
        <v>0</v>
      </c>
      <c r="K33" s="15">
        <f>G33*H33</f>
        <v>0</v>
      </c>
      <c r="L33" s="27"/>
      <c r="Z33" s="32">
        <f>IF(AQ33="5",BJ33,0)</f>
        <v>0</v>
      </c>
      <c r="AB33" s="32">
        <f>IF(AQ33="1",BH33,0)</f>
        <v>0</v>
      </c>
      <c r="AC33" s="32">
        <f>IF(AQ33="1",BI33,0)</f>
        <v>0</v>
      </c>
      <c r="AD33" s="32">
        <f>IF(AQ33="7",BH33,0)</f>
        <v>0</v>
      </c>
      <c r="AE33" s="32">
        <f>IF(AQ33="7",BI33,0)</f>
        <v>0</v>
      </c>
      <c r="AF33" s="32">
        <f>IF(AQ33="2",BH33,0)</f>
        <v>0</v>
      </c>
      <c r="AG33" s="32">
        <f>IF(AQ33="2",BI33,0)</f>
        <v>0</v>
      </c>
      <c r="AH33" s="32">
        <f>IF(AQ33="0",BJ33,0)</f>
        <v>0</v>
      </c>
      <c r="AI33" s="28"/>
      <c r="AJ33" s="15">
        <f>IF(AN33=0,K33,0)</f>
        <v>0</v>
      </c>
      <c r="AK33" s="15">
        <f>IF(AN33=15,K33,0)</f>
        <v>0</v>
      </c>
      <c r="AL33" s="15">
        <f>IF(AN33=21,K33,0)</f>
        <v>0</v>
      </c>
      <c r="AN33" s="32">
        <v>21</v>
      </c>
      <c r="AO33" s="32">
        <f>H33*0</f>
        <v>0</v>
      </c>
      <c r="AP33" s="32">
        <f>H33*(1-0)</f>
        <v>0</v>
      </c>
      <c r="AQ33" s="27" t="s">
        <v>7</v>
      </c>
      <c r="AV33" s="32">
        <f>AW33+AX33</f>
        <v>0</v>
      </c>
      <c r="AW33" s="32">
        <f>G33*AO33</f>
        <v>0</v>
      </c>
      <c r="AX33" s="32">
        <f>G33*AP33</f>
        <v>0</v>
      </c>
      <c r="AY33" s="33" t="s">
        <v>705</v>
      </c>
      <c r="AZ33" s="33" t="s">
        <v>705</v>
      </c>
      <c r="BA33" s="28" t="s">
        <v>739</v>
      </c>
      <c r="BC33" s="32">
        <f>AW33+AX33</f>
        <v>0</v>
      </c>
      <c r="BD33" s="32">
        <f>H33/(100-BE33)*100</f>
        <v>0</v>
      </c>
      <c r="BE33" s="32">
        <v>0</v>
      </c>
      <c r="BF33" s="32">
        <f>33</f>
        <v>33</v>
      </c>
      <c r="BH33" s="15">
        <f>G33*AO33</f>
        <v>0</v>
      </c>
      <c r="BI33" s="15">
        <f>G33*AP33</f>
        <v>0</v>
      </c>
      <c r="BJ33" s="15">
        <f>G33*H33</f>
        <v>0</v>
      </c>
    </row>
    <row r="34" spans="1:62" x14ac:dyDescent="0.2">
      <c r="C34" s="58" t="s">
        <v>326</v>
      </c>
      <c r="D34" s="59"/>
      <c r="E34" s="59"/>
      <c r="G34" s="16">
        <v>1</v>
      </c>
    </row>
    <row r="35" spans="1:62" x14ac:dyDescent="0.2">
      <c r="A35" s="5"/>
      <c r="B35" s="55" t="s">
        <v>27</v>
      </c>
      <c r="C35" s="70" t="s">
        <v>795</v>
      </c>
      <c r="D35" s="67"/>
      <c r="E35" s="67"/>
      <c r="F35" s="5" t="s">
        <v>6</v>
      </c>
      <c r="G35" s="5" t="s">
        <v>6</v>
      </c>
      <c r="H35" s="5" t="s">
        <v>6</v>
      </c>
      <c r="I35" s="35">
        <f>SUM(I36:I36)</f>
        <v>0</v>
      </c>
      <c r="J35" s="35">
        <f>SUM(J36:J36)</f>
        <v>0</v>
      </c>
      <c r="K35" s="35">
        <f>SUM(K36:K36)</f>
        <v>0</v>
      </c>
      <c r="L35" s="28"/>
      <c r="AI35" s="28"/>
      <c r="AS35" s="35">
        <f>SUM(AJ36:AJ36)</f>
        <v>0</v>
      </c>
      <c r="AT35" s="35">
        <f>SUM(AK36:AK36)</f>
        <v>0</v>
      </c>
      <c r="AU35" s="35">
        <f>SUM(AL36:AL36)</f>
        <v>0</v>
      </c>
    </row>
    <row r="36" spans="1:62" x14ac:dyDescent="0.2">
      <c r="A36" s="54" t="s">
        <v>797</v>
      </c>
      <c r="B36" s="54" t="s">
        <v>155</v>
      </c>
      <c r="C36" s="60" t="s">
        <v>796</v>
      </c>
      <c r="D36" s="61"/>
      <c r="E36" s="61"/>
      <c r="F36" s="54" t="s">
        <v>669</v>
      </c>
      <c r="G36" s="15">
        <v>1</v>
      </c>
      <c r="H36" s="15">
        <v>0</v>
      </c>
      <c r="I36" s="15">
        <f>G36*AO36</f>
        <v>0</v>
      </c>
      <c r="J36" s="15">
        <f>G36*AP36</f>
        <v>0</v>
      </c>
      <c r="K36" s="15">
        <f>G36*H36</f>
        <v>0</v>
      </c>
      <c r="L36" s="27"/>
      <c r="Z36" s="32">
        <f>IF(AQ36="5",BJ36,0)</f>
        <v>0</v>
      </c>
      <c r="AB36" s="32">
        <f>IF(AQ36="1",BH36,0)</f>
        <v>0</v>
      </c>
      <c r="AC36" s="32">
        <f>IF(AQ36="1",BI36,0)</f>
        <v>0</v>
      </c>
      <c r="AD36" s="32">
        <f>IF(AQ36="7",BH36,0)</f>
        <v>0</v>
      </c>
      <c r="AE36" s="32">
        <f>IF(AQ36="7",BI36,0)</f>
        <v>0</v>
      </c>
      <c r="AF36" s="32">
        <f>IF(AQ36="2",BH36,0)</f>
        <v>0</v>
      </c>
      <c r="AG36" s="32">
        <f>IF(AQ36="2",BI36,0)</f>
        <v>0</v>
      </c>
      <c r="AH36" s="32">
        <f>IF(AQ36="0",BJ36,0)</f>
        <v>0</v>
      </c>
      <c r="AI36" s="28"/>
      <c r="AJ36" s="15">
        <f>IF(AN36=0,K36,0)</f>
        <v>0</v>
      </c>
      <c r="AK36" s="15">
        <f>IF(AN36=15,K36,0)</f>
        <v>0</v>
      </c>
      <c r="AL36" s="15">
        <f>IF(AN36=21,K36,0)</f>
        <v>0</v>
      </c>
      <c r="AN36" s="32">
        <v>21</v>
      </c>
      <c r="AO36" s="32">
        <f>H36*0</f>
        <v>0</v>
      </c>
      <c r="AP36" s="32">
        <f>H36*(1-0)</f>
        <v>0</v>
      </c>
      <c r="AQ36" s="27" t="s">
        <v>7</v>
      </c>
      <c r="AV36" s="32">
        <f>AW36+AX36</f>
        <v>0</v>
      </c>
      <c r="AW36" s="32">
        <f>G36*AO36</f>
        <v>0</v>
      </c>
      <c r="AX36" s="32">
        <f>G36*AP36</f>
        <v>0</v>
      </c>
      <c r="AY36" s="33" t="s">
        <v>705</v>
      </c>
      <c r="AZ36" s="33" t="s">
        <v>705</v>
      </c>
      <c r="BA36" s="28" t="s">
        <v>739</v>
      </c>
      <c r="BC36" s="32">
        <f>AW36+AX36</f>
        <v>0</v>
      </c>
      <c r="BD36" s="32">
        <f>H36/(100-BE36)*100</f>
        <v>0</v>
      </c>
      <c r="BE36" s="32">
        <v>0</v>
      </c>
      <c r="BF36" s="32">
        <f>33</f>
        <v>33</v>
      </c>
      <c r="BH36" s="15">
        <f>G36*AO36</f>
        <v>0</v>
      </c>
      <c r="BI36" s="15">
        <f>G36*AP36</f>
        <v>0</v>
      </c>
      <c r="BJ36" s="15">
        <f>G36*H36</f>
        <v>0</v>
      </c>
    </row>
    <row r="37" spans="1:62" x14ac:dyDescent="0.2">
      <c r="A37" s="5"/>
      <c r="B37" s="13" t="s">
        <v>33</v>
      </c>
      <c r="C37" s="66" t="s">
        <v>327</v>
      </c>
      <c r="D37" s="67"/>
      <c r="E37" s="67"/>
      <c r="F37" s="5" t="s">
        <v>6</v>
      </c>
      <c r="G37" s="5" t="s">
        <v>6</v>
      </c>
      <c r="H37" s="5" t="s">
        <v>6</v>
      </c>
      <c r="I37" s="35">
        <f>SUM(I38:I38)</f>
        <v>0</v>
      </c>
      <c r="J37" s="35">
        <f>SUM(J38:J38)</f>
        <v>0</v>
      </c>
      <c r="K37" s="35">
        <f>SUM(K38:K38)</f>
        <v>0</v>
      </c>
      <c r="L37" s="28"/>
      <c r="AI37" s="28"/>
      <c r="AS37" s="35">
        <f>SUM(AJ38:AJ38)</f>
        <v>0</v>
      </c>
      <c r="AT37" s="35">
        <f>SUM(AK38:AK38)</f>
        <v>0</v>
      </c>
      <c r="AU37" s="35">
        <f>SUM(AL38:AL38)</f>
        <v>0</v>
      </c>
    </row>
    <row r="38" spans="1:62" x14ac:dyDescent="0.2">
      <c r="A38" s="4" t="s">
        <v>15</v>
      </c>
      <c r="B38" s="4" t="s">
        <v>156</v>
      </c>
      <c r="C38" s="60" t="s">
        <v>328</v>
      </c>
      <c r="D38" s="61"/>
      <c r="E38" s="61"/>
      <c r="F38" s="4" t="s">
        <v>668</v>
      </c>
      <c r="G38" s="15">
        <v>4.9817999999999998</v>
      </c>
      <c r="H38" s="15">
        <v>0</v>
      </c>
      <c r="I38" s="15">
        <f>G38*AO38</f>
        <v>0</v>
      </c>
      <c r="J38" s="15">
        <f>G38*AP38</f>
        <v>0</v>
      </c>
      <c r="K38" s="15">
        <f>G38*H38</f>
        <v>0</v>
      </c>
      <c r="L38" s="27" t="s">
        <v>690</v>
      </c>
      <c r="Z38" s="32">
        <f>IF(AQ38="5",BJ38,0)</f>
        <v>0</v>
      </c>
      <c r="AB38" s="32">
        <f>IF(AQ38="1",BH38,0)</f>
        <v>0</v>
      </c>
      <c r="AC38" s="32">
        <f>IF(AQ38="1",BI38,0)</f>
        <v>0</v>
      </c>
      <c r="AD38" s="32">
        <f>IF(AQ38="7",BH38,0)</f>
        <v>0</v>
      </c>
      <c r="AE38" s="32">
        <f>IF(AQ38="7",BI38,0)</f>
        <v>0</v>
      </c>
      <c r="AF38" s="32">
        <f>IF(AQ38="2",BH38,0)</f>
        <v>0</v>
      </c>
      <c r="AG38" s="32">
        <f>IF(AQ38="2",BI38,0)</f>
        <v>0</v>
      </c>
      <c r="AH38" s="32">
        <f>IF(AQ38="0",BJ38,0)</f>
        <v>0</v>
      </c>
      <c r="AI38" s="28"/>
      <c r="AJ38" s="15">
        <f>IF(AN38=0,K38,0)</f>
        <v>0</v>
      </c>
      <c r="AK38" s="15">
        <f>IF(AN38=15,K38,0)</f>
        <v>0</v>
      </c>
      <c r="AL38" s="15">
        <f>IF(AN38=21,K38,0)</f>
        <v>0</v>
      </c>
      <c r="AN38" s="32">
        <v>21</v>
      </c>
      <c r="AO38" s="32">
        <f>H38*0.667171360610357</f>
        <v>0</v>
      </c>
      <c r="AP38" s="32">
        <f>H38*(1-0.667171360610357)</f>
        <v>0</v>
      </c>
      <c r="AQ38" s="27" t="s">
        <v>7</v>
      </c>
      <c r="AV38" s="32">
        <f>AW38+AX38</f>
        <v>0</v>
      </c>
      <c r="AW38" s="32">
        <f>G38*AO38</f>
        <v>0</v>
      </c>
      <c r="AX38" s="32">
        <f>G38*AP38</f>
        <v>0</v>
      </c>
      <c r="AY38" s="33" t="s">
        <v>706</v>
      </c>
      <c r="AZ38" s="33" t="s">
        <v>705</v>
      </c>
      <c r="BA38" s="28" t="s">
        <v>739</v>
      </c>
      <c r="BC38" s="32">
        <f>AW38+AX38</f>
        <v>0</v>
      </c>
      <c r="BD38" s="32">
        <f>H38/(100-BE38)*100</f>
        <v>0</v>
      </c>
      <c r="BE38" s="32">
        <v>0</v>
      </c>
      <c r="BF38" s="32">
        <f>36</f>
        <v>36</v>
      </c>
      <c r="BH38" s="15">
        <f>G38*AO38</f>
        <v>0</v>
      </c>
      <c r="BI38" s="15">
        <f>G38*AP38</f>
        <v>0</v>
      </c>
      <c r="BJ38" s="15">
        <f>G38*H38</f>
        <v>0</v>
      </c>
    </row>
    <row r="39" spans="1:62" x14ac:dyDescent="0.2">
      <c r="C39" s="58" t="s">
        <v>329</v>
      </c>
      <c r="D39" s="59"/>
      <c r="E39" s="59"/>
      <c r="G39" s="16">
        <v>4.9817999999999998</v>
      </c>
    </row>
    <row r="40" spans="1:62" x14ac:dyDescent="0.2">
      <c r="A40" s="5"/>
      <c r="B40" s="13" t="s">
        <v>40</v>
      </c>
      <c r="C40" s="66" t="s">
        <v>330</v>
      </c>
      <c r="D40" s="67"/>
      <c r="E40" s="67"/>
      <c r="F40" s="5" t="s">
        <v>6</v>
      </c>
      <c r="G40" s="5" t="s">
        <v>6</v>
      </c>
      <c r="H40" s="5" t="s">
        <v>6</v>
      </c>
      <c r="I40" s="35">
        <f>SUM(I41:I46)</f>
        <v>0</v>
      </c>
      <c r="J40" s="35">
        <f>SUM(J41:J46)</f>
        <v>0</v>
      </c>
      <c r="K40" s="35">
        <f>SUM(K41:K46)</f>
        <v>0</v>
      </c>
      <c r="L40" s="28"/>
      <c r="AI40" s="28"/>
      <c r="AS40" s="35">
        <f>SUM(AJ41:AJ46)</f>
        <v>0</v>
      </c>
      <c r="AT40" s="35">
        <f>SUM(AK41:AK46)</f>
        <v>0</v>
      </c>
      <c r="AU40" s="35">
        <f>SUM(AL41:AL46)</f>
        <v>0</v>
      </c>
    </row>
    <row r="41" spans="1:62" x14ac:dyDescent="0.2">
      <c r="A41" s="4" t="s">
        <v>16</v>
      </c>
      <c r="B41" s="4" t="s">
        <v>157</v>
      </c>
      <c r="C41" s="60" t="s">
        <v>331</v>
      </c>
      <c r="D41" s="61"/>
      <c r="E41" s="61"/>
      <c r="F41" s="4" t="s">
        <v>667</v>
      </c>
      <c r="G41" s="15">
        <v>76.400000000000006</v>
      </c>
      <c r="H41" s="15">
        <v>0</v>
      </c>
      <c r="I41" s="15">
        <f>G41*AO41</f>
        <v>0</v>
      </c>
      <c r="J41" s="15">
        <f>G41*AP41</f>
        <v>0</v>
      </c>
      <c r="K41" s="15">
        <f>G41*H41</f>
        <v>0</v>
      </c>
      <c r="L41" s="27" t="s">
        <v>690</v>
      </c>
      <c r="Z41" s="32">
        <f>IF(AQ41="5",BJ41,0)</f>
        <v>0</v>
      </c>
      <c r="AB41" s="32">
        <f>IF(AQ41="1",BH41,0)</f>
        <v>0</v>
      </c>
      <c r="AC41" s="32">
        <f>IF(AQ41="1",BI41,0)</f>
        <v>0</v>
      </c>
      <c r="AD41" s="32">
        <f>IF(AQ41="7",BH41,0)</f>
        <v>0</v>
      </c>
      <c r="AE41" s="32">
        <f>IF(AQ41="7",BI41,0)</f>
        <v>0</v>
      </c>
      <c r="AF41" s="32">
        <f>IF(AQ41="2",BH41,0)</f>
        <v>0</v>
      </c>
      <c r="AG41" s="32">
        <f>IF(AQ41="2",BI41,0)</f>
        <v>0</v>
      </c>
      <c r="AH41" s="32">
        <f>IF(AQ41="0",BJ41,0)</f>
        <v>0</v>
      </c>
      <c r="AI41" s="28"/>
      <c r="AJ41" s="15">
        <f>IF(AN41=0,K41,0)</f>
        <v>0</v>
      </c>
      <c r="AK41" s="15">
        <f>IF(AN41=15,K41,0)</f>
        <v>0</v>
      </c>
      <c r="AL41" s="15">
        <f>IF(AN41=21,K41,0)</f>
        <v>0</v>
      </c>
      <c r="AN41" s="32">
        <v>21</v>
      </c>
      <c r="AO41" s="32">
        <f>H41*0.315389256479347</f>
        <v>0</v>
      </c>
      <c r="AP41" s="32">
        <f>H41*(1-0.315389256479347)</f>
        <v>0</v>
      </c>
      <c r="AQ41" s="27" t="s">
        <v>7</v>
      </c>
      <c r="AV41" s="32">
        <f>AW41+AX41</f>
        <v>0</v>
      </c>
      <c r="AW41" s="32">
        <f>G41*AO41</f>
        <v>0</v>
      </c>
      <c r="AX41" s="32">
        <f>G41*AP41</f>
        <v>0</v>
      </c>
      <c r="AY41" s="33" t="s">
        <v>707</v>
      </c>
      <c r="AZ41" s="33" t="s">
        <v>731</v>
      </c>
      <c r="BA41" s="28" t="s">
        <v>739</v>
      </c>
      <c r="BC41" s="32">
        <f>AW41+AX41</f>
        <v>0</v>
      </c>
      <c r="BD41" s="32">
        <f>H41/(100-BE41)*100</f>
        <v>0</v>
      </c>
      <c r="BE41" s="32">
        <v>0</v>
      </c>
      <c r="BF41" s="32">
        <f>39</f>
        <v>39</v>
      </c>
      <c r="BH41" s="15">
        <f>G41*AO41</f>
        <v>0</v>
      </c>
      <c r="BI41" s="15">
        <f>G41*AP41</f>
        <v>0</v>
      </c>
      <c r="BJ41" s="15">
        <f>G41*H41</f>
        <v>0</v>
      </c>
    </row>
    <row r="42" spans="1:62" x14ac:dyDescent="0.2">
      <c r="C42" s="58" t="s">
        <v>332</v>
      </c>
      <c r="D42" s="59"/>
      <c r="E42" s="59"/>
      <c r="G42" s="16">
        <v>19.100000000000001</v>
      </c>
    </row>
    <row r="43" spans="1:62" x14ac:dyDescent="0.2">
      <c r="C43" s="58" t="s">
        <v>333</v>
      </c>
      <c r="D43" s="59"/>
      <c r="E43" s="59"/>
      <c r="G43" s="16">
        <v>19.100000000000001</v>
      </c>
    </row>
    <row r="44" spans="1:62" x14ac:dyDescent="0.2">
      <c r="C44" s="58" t="s">
        <v>334</v>
      </c>
      <c r="D44" s="59"/>
      <c r="E44" s="59"/>
      <c r="G44" s="16">
        <v>19.100000000000001</v>
      </c>
    </row>
    <row r="45" spans="1:62" x14ac:dyDescent="0.2">
      <c r="C45" s="58" t="s">
        <v>335</v>
      </c>
      <c r="D45" s="59"/>
      <c r="E45" s="59"/>
      <c r="G45" s="16">
        <v>19.100000000000001</v>
      </c>
    </row>
    <row r="46" spans="1:62" x14ac:dyDescent="0.2">
      <c r="A46" s="4" t="s">
        <v>17</v>
      </c>
      <c r="B46" s="4" t="s">
        <v>158</v>
      </c>
      <c r="C46" s="60" t="s">
        <v>787</v>
      </c>
      <c r="D46" s="61"/>
      <c r="E46" s="61"/>
      <c r="F46" s="4" t="s">
        <v>670</v>
      </c>
      <c r="G46" s="15">
        <v>71.400000000000006</v>
      </c>
      <c r="H46" s="15">
        <v>0</v>
      </c>
      <c r="I46" s="15">
        <f>G46*AO46</f>
        <v>0</v>
      </c>
      <c r="J46" s="15">
        <f>G46*AP46</f>
        <v>0</v>
      </c>
      <c r="K46" s="15">
        <f>G46*H46</f>
        <v>0</v>
      </c>
      <c r="L46" s="27" t="s">
        <v>690</v>
      </c>
      <c r="Z46" s="32">
        <f>IF(AQ46="5",BJ46,0)</f>
        <v>0</v>
      </c>
      <c r="AB46" s="32">
        <f>IF(AQ46="1",BH46,0)</f>
        <v>0</v>
      </c>
      <c r="AC46" s="32">
        <f>IF(AQ46="1",BI46,0)</f>
        <v>0</v>
      </c>
      <c r="AD46" s="32">
        <f>IF(AQ46="7",BH46,0)</f>
        <v>0</v>
      </c>
      <c r="AE46" s="32">
        <f>IF(AQ46="7",BI46,0)</f>
        <v>0</v>
      </c>
      <c r="AF46" s="32">
        <f>IF(AQ46="2",BH46,0)</f>
        <v>0</v>
      </c>
      <c r="AG46" s="32">
        <f>IF(AQ46="2",BI46,0)</f>
        <v>0</v>
      </c>
      <c r="AH46" s="32">
        <f>IF(AQ46="0",BJ46,0)</f>
        <v>0</v>
      </c>
      <c r="AI46" s="28"/>
      <c r="AJ46" s="15">
        <f>IF(AN46=0,K46,0)</f>
        <v>0</v>
      </c>
      <c r="AK46" s="15">
        <f>IF(AN46=15,K46,0)</f>
        <v>0</v>
      </c>
      <c r="AL46" s="15">
        <f>IF(AN46=21,K46,0)</f>
        <v>0</v>
      </c>
      <c r="AN46" s="32">
        <v>21</v>
      </c>
      <c r="AO46" s="32">
        <f>H46*0.338008695652174</f>
        <v>0</v>
      </c>
      <c r="AP46" s="32">
        <f>H46*(1-0.338008695652174)</f>
        <v>0</v>
      </c>
      <c r="AQ46" s="27" t="s">
        <v>7</v>
      </c>
      <c r="AV46" s="32">
        <f>AW46+AX46</f>
        <v>0</v>
      </c>
      <c r="AW46" s="32">
        <f>G46*AO46</f>
        <v>0</v>
      </c>
      <c r="AX46" s="32">
        <f>G46*AP46</f>
        <v>0</v>
      </c>
      <c r="AY46" s="33" t="s">
        <v>707</v>
      </c>
      <c r="AZ46" s="33" t="s">
        <v>731</v>
      </c>
      <c r="BA46" s="28" t="s">
        <v>739</v>
      </c>
      <c r="BC46" s="32">
        <f>AW46+AX46</f>
        <v>0</v>
      </c>
      <c r="BD46" s="32">
        <f>H46/(100-BE46)*100</f>
        <v>0</v>
      </c>
      <c r="BE46" s="32">
        <v>0</v>
      </c>
      <c r="BF46" s="32">
        <f>44</f>
        <v>44</v>
      </c>
      <c r="BH46" s="15">
        <f>G46*AO46</f>
        <v>0</v>
      </c>
      <c r="BI46" s="15">
        <f>G46*AP46</f>
        <v>0</v>
      </c>
      <c r="BJ46" s="15">
        <f>G46*H46</f>
        <v>0</v>
      </c>
    </row>
    <row r="47" spans="1:62" x14ac:dyDescent="0.2">
      <c r="C47" s="58" t="s">
        <v>336</v>
      </c>
      <c r="D47" s="59"/>
      <c r="E47" s="59"/>
      <c r="G47" s="16">
        <v>35.700000000000003</v>
      </c>
    </row>
    <row r="48" spans="1:62" x14ac:dyDescent="0.2">
      <c r="C48" s="58" t="s">
        <v>337</v>
      </c>
      <c r="D48" s="59"/>
      <c r="E48" s="59"/>
      <c r="G48" s="16">
        <v>35.700000000000003</v>
      </c>
    </row>
    <row r="49" spans="1:62" x14ac:dyDescent="0.2">
      <c r="A49" s="5"/>
      <c r="B49" s="13" t="s">
        <v>65</v>
      </c>
      <c r="C49" s="66" t="s">
        <v>338</v>
      </c>
      <c r="D49" s="67"/>
      <c r="E49" s="67"/>
      <c r="F49" s="5" t="s">
        <v>6</v>
      </c>
      <c r="G49" s="5" t="s">
        <v>6</v>
      </c>
      <c r="H49" s="5" t="s">
        <v>6</v>
      </c>
      <c r="I49" s="35">
        <f>SUM(I50:I50)</f>
        <v>0</v>
      </c>
      <c r="J49" s="35">
        <f>SUM(J50:J50)</f>
        <v>0</v>
      </c>
      <c r="K49" s="35">
        <f>SUM(K50:K50)</f>
        <v>0</v>
      </c>
      <c r="L49" s="28"/>
      <c r="AI49" s="28"/>
      <c r="AS49" s="35">
        <f>SUM(AJ50:AJ50)</f>
        <v>0</v>
      </c>
      <c r="AT49" s="35">
        <f>SUM(AK50:AK50)</f>
        <v>0</v>
      </c>
      <c r="AU49" s="35">
        <f>SUM(AL50:AL50)</f>
        <v>0</v>
      </c>
    </row>
    <row r="50" spans="1:62" x14ac:dyDescent="0.2">
      <c r="A50" s="4" t="s">
        <v>18</v>
      </c>
      <c r="B50" s="4" t="s">
        <v>159</v>
      </c>
      <c r="C50" s="60" t="s">
        <v>339</v>
      </c>
      <c r="D50" s="61"/>
      <c r="E50" s="61"/>
      <c r="F50" s="4" t="s">
        <v>667</v>
      </c>
      <c r="G50" s="15">
        <v>68.099999999999994</v>
      </c>
      <c r="H50" s="15">
        <v>0</v>
      </c>
      <c r="I50" s="15">
        <f>G50*AO50</f>
        <v>0</v>
      </c>
      <c r="J50" s="15">
        <f>G50*AP50</f>
        <v>0</v>
      </c>
      <c r="K50" s="15">
        <f>G50*H50</f>
        <v>0</v>
      </c>
      <c r="L50" s="27" t="s">
        <v>690</v>
      </c>
      <c r="Z50" s="32">
        <f>IF(AQ50="5",BJ50,0)</f>
        <v>0</v>
      </c>
      <c r="AB50" s="32">
        <f>IF(AQ50="1",BH50,0)</f>
        <v>0</v>
      </c>
      <c r="AC50" s="32">
        <f>IF(AQ50="1",BI50,0)</f>
        <v>0</v>
      </c>
      <c r="AD50" s="32">
        <f>IF(AQ50="7",BH50,0)</f>
        <v>0</v>
      </c>
      <c r="AE50" s="32">
        <f>IF(AQ50="7",BI50,0)</f>
        <v>0</v>
      </c>
      <c r="AF50" s="32">
        <f>IF(AQ50="2",BH50,0)</f>
        <v>0</v>
      </c>
      <c r="AG50" s="32">
        <f>IF(AQ50="2",BI50,0)</f>
        <v>0</v>
      </c>
      <c r="AH50" s="32">
        <f>IF(AQ50="0",BJ50,0)</f>
        <v>0</v>
      </c>
      <c r="AI50" s="28"/>
      <c r="AJ50" s="15">
        <f>IF(AN50=0,K50,0)</f>
        <v>0</v>
      </c>
      <c r="AK50" s="15">
        <f>IF(AN50=15,K50,0)</f>
        <v>0</v>
      </c>
      <c r="AL50" s="15">
        <f>IF(AN50=21,K50,0)</f>
        <v>0</v>
      </c>
      <c r="AN50" s="32">
        <v>21</v>
      </c>
      <c r="AO50" s="32">
        <f>H50*0.568727140290301</f>
        <v>0</v>
      </c>
      <c r="AP50" s="32">
        <f>H50*(1-0.568727140290301)</f>
        <v>0</v>
      </c>
      <c r="AQ50" s="27" t="s">
        <v>7</v>
      </c>
      <c r="AV50" s="32">
        <f>AW50+AX50</f>
        <v>0</v>
      </c>
      <c r="AW50" s="32">
        <f>G50*AO50</f>
        <v>0</v>
      </c>
      <c r="AX50" s="32">
        <f>G50*AP50</f>
        <v>0</v>
      </c>
      <c r="AY50" s="33" t="s">
        <v>708</v>
      </c>
      <c r="AZ50" s="33" t="s">
        <v>732</v>
      </c>
      <c r="BA50" s="28" t="s">
        <v>739</v>
      </c>
      <c r="BC50" s="32">
        <f>AW50+AX50</f>
        <v>0</v>
      </c>
      <c r="BD50" s="32">
        <f>H50/(100-BE50)*100</f>
        <v>0</v>
      </c>
      <c r="BE50" s="32">
        <v>0</v>
      </c>
      <c r="BF50" s="32">
        <f>48</f>
        <v>48</v>
      </c>
      <c r="BH50" s="15">
        <f>G50*AO50</f>
        <v>0</v>
      </c>
      <c r="BI50" s="15">
        <f>G50*AP50</f>
        <v>0</v>
      </c>
      <c r="BJ50" s="15">
        <f>G50*H50</f>
        <v>0</v>
      </c>
    </row>
    <row r="51" spans="1:62" x14ac:dyDescent="0.2">
      <c r="C51" s="58" t="s">
        <v>340</v>
      </c>
      <c r="D51" s="59"/>
      <c r="E51" s="59"/>
      <c r="G51" s="16">
        <v>68.099999999999994</v>
      </c>
    </row>
    <row r="52" spans="1:62" x14ac:dyDescent="0.2">
      <c r="A52" s="5"/>
      <c r="B52" s="13" t="s">
        <v>67</v>
      </c>
      <c r="C52" s="66" t="s">
        <v>341</v>
      </c>
      <c r="D52" s="67"/>
      <c r="E52" s="67"/>
      <c r="F52" s="5" t="s">
        <v>6</v>
      </c>
      <c r="G52" s="5" t="s">
        <v>6</v>
      </c>
      <c r="H52" s="5" t="s">
        <v>6</v>
      </c>
      <c r="I52" s="35">
        <f>SUM(I53:I55)</f>
        <v>0</v>
      </c>
      <c r="J52" s="35">
        <f>SUM(J53:J55)</f>
        <v>0</v>
      </c>
      <c r="K52" s="35">
        <f>SUM(K53:K55)</f>
        <v>0</v>
      </c>
      <c r="L52" s="28"/>
      <c r="AI52" s="28"/>
      <c r="AS52" s="35">
        <f>SUM(AJ53:AJ55)</f>
        <v>0</v>
      </c>
      <c r="AT52" s="35">
        <f>SUM(AK53:AK55)</f>
        <v>0</v>
      </c>
      <c r="AU52" s="35">
        <f>SUM(AL53:AL55)</f>
        <v>0</v>
      </c>
    </row>
    <row r="53" spans="1:62" x14ac:dyDescent="0.2">
      <c r="A53" s="4" t="s">
        <v>19</v>
      </c>
      <c r="B53" s="4" t="s">
        <v>160</v>
      </c>
      <c r="C53" s="60" t="s">
        <v>342</v>
      </c>
      <c r="D53" s="61"/>
      <c r="E53" s="61"/>
      <c r="F53" s="4" t="s">
        <v>670</v>
      </c>
      <c r="G53" s="15">
        <v>387.41</v>
      </c>
      <c r="H53" s="15">
        <v>0</v>
      </c>
      <c r="I53" s="15">
        <f>G53*AO53</f>
        <v>0</v>
      </c>
      <c r="J53" s="15">
        <f>G53*AP53</f>
        <v>0</v>
      </c>
      <c r="K53" s="15">
        <f>G53*H53</f>
        <v>0</v>
      </c>
      <c r="L53" s="27" t="s">
        <v>690</v>
      </c>
      <c r="Z53" s="32">
        <f>IF(AQ53="5",BJ53,0)</f>
        <v>0</v>
      </c>
      <c r="AB53" s="32">
        <f>IF(AQ53="1",BH53,0)</f>
        <v>0</v>
      </c>
      <c r="AC53" s="32">
        <f>IF(AQ53="1",BI53,0)</f>
        <v>0</v>
      </c>
      <c r="AD53" s="32">
        <f>IF(AQ53="7",BH53,0)</f>
        <v>0</v>
      </c>
      <c r="AE53" s="32">
        <f>IF(AQ53="7",BI53,0)</f>
        <v>0</v>
      </c>
      <c r="AF53" s="32">
        <f>IF(AQ53="2",BH53,0)</f>
        <v>0</v>
      </c>
      <c r="AG53" s="32">
        <f>IF(AQ53="2",BI53,0)</f>
        <v>0</v>
      </c>
      <c r="AH53" s="32">
        <f>IF(AQ53="0",BJ53,0)</f>
        <v>0</v>
      </c>
      <c r="AI53" s="28"/>
      <c r="AJ53" s="15">
        <f>IF(AN53=0,K53,0)</f>
        <v>0</v>
      </c>
      <c r="AK53" s="15">
        <f>IF(AN53=15,K53,0)</f>
        <v>0</v>
      </c>
      <c r="AL53" s="15">
        <f>IF(AN53=21,K53,0)</f>
        <v>0</v>
      </c>
      <c r="AN53" s="32">
        <v>21</v>
      </c>
      <c r="AO53" s="32">
        <f>H53*0.04354066447899</f>
        <v>0</v>
      </c>
      <c r="AP53" s="32">
        <f>H53*(1-0.04354066447899)</f>
        <v>0</v>
      </c>
      <c r="AQ53" s="27" t="s">
        <v>7</v>
      </c>
      <c r="AV53" s="32">
        <f>AW53+AX53</f>
        <v>0</v>
      </c>
      <c r="AW53" s="32">
        <f>G53*AO53</f>
        <v>0</v>
      </c>
      <c r="AX53" s="32">
        <f>G53*AP53</f>
        <v>0</v>
      </c>
      <c r="AY53" s="33" t="s">
        <v>709</v>
      </c>
      <c r="AZ53" s="33" t="s">
        <v>733</v>
      </c>
      <c r="BA53" s="28" t="s">
        <v>739</v>
      </c>
      <c r="BC53" s="32">
        <f>AW53+AX53</f>
        <v>0</v>
      </c>
      <c r="BD53" s="32">
        <f>H53/(100-BE53)*100</f>
        <v>0</v>
      </c>
      <c r="BE53" s="32">
        <v>0</v>
      </c>
      <c r="BF53" s="32">
        <f>51</f>
        <v>51</v>
      </c>
      <c r="BH53" s="15">
        <f>G53*AO53</f>
        <v>0</v>
      </c>
      <c r="BI53" s="15">
        <f>G53*AP53</f>
        <v>0</v>
      </c>
      <c r="BJ53" s="15">
        <f>G53*H53</f>
        <v>0</v>
      </c>
    </row>
    <row r="54" spans="1:62" x14ac:dyDescent="0.2">
      <c r="C54" s="58" t="s">
        <v>343</v>
      </c>
      <c r="D54" s="59"/>
      <c r="E54" s="59"/>
      <c r="G54" s="16">
        <v>387.41</v>
      </c>
    </row>
    <row r="55" spans="1:62" x14ac:dyDescent="0.2">
      <c r="A55" s="4" t="s">
        <v>20</v>
      </c>
      <c r="B55" s="4" t="s">
        <v>161</v>
      </c>
      <c r="C55" s="60" t="s">
        <v>344</v>
      </c>
      <c r="D55" s="61"/>
      <c r="E55" s="61"/>
      <c r="F55" s="4" t="s">
        <v>667</v>
      </c>
      <c r="G55" s="15">
        <v>190.70500000000001</v>
      </c>
      <c r="H55" s="15">
        <v>0</v>
      </c>
      <c r="I55" s="15">
        <f>G55*AO55</f>
        <v>0</v>
      </c>
      <c r="J55" s="15">
        <f>G55*AP55</f>
        <v>0</v>
      </c>
      <c r="K55" s="15">
        <f>G55*H55</f>
        <v>0</v>
      </c>
      <c r="L55" s="27" t="s">
        <v>690</v>
      </c>
      <c r="Z55" s="32">
        <f>IF(AQ55="5",BJ55,0)</f>
        <v>0</v>
      </c>
      <c r="AB55" s="32">
        <f>IF(AQ55="1",BH55,0)</f>
        <v>0</v>
      </c>
      <c r="AC55" s="32">
        <f>IF(AQ55="1",BI55,0)</f>
        <v>0</v>
      </c>
      <c r="AD55" s="32">
        <f>IF(AQ55="7",BH55,0)</f>
        <v>0</v>
      </c>
      <c r="AE55" s="32">
        <f>IF(AQ55="7",BI55,0)</f>
        <v>0</v>
      </c>
      <c r="AF55" s="32">
        <f>IF(AQ55="2",BH55,0)</f>
        <v>0</v>
      </c>
      <c r="AG55" s="32">
        <f>IF(AQ55="2",BI55,0)</f>
        <v>0</v>
      </c>
      <c r="AH55" s="32">
        <f>IF(AQ55="0",BJ55,0)</f>
        <v>0</v>
      </c>
      <c r="AI55" s="28"/>
      <c r="AJ55" s="15">
        <f>IF(AN55=0,K55,0)</f>
        <v>0</v>
      </c>
      <c r="AK55" s="15">
        <f>IF(AN55=15,K55,0)</f>
        <v>0</v>
      </c>
      <c r="AL55" s="15">
        <f>IF(AN55=21,K55,0)</f>
        <v>0</v>
      </c>
      <c r="AN55" s="32">
        <v>21</v>
      </c>
      <c r="AO55" s="32">
        <f>H55*0.142324159021407</f>
        <v>0</v>
      </c>
      <c r="AP55" s="32">
        <f>H55*(1-0.142324159021407)</f>
        <v>0</v>
      </c>
      <c r="AQ55" s="27" t="s">
        <v>7</v>
      </c>
      <c r="AV55" s="32">
        <f>AW55+AX55</f>
        <v>0</v>
      </c>
      <c r="AW55" s="32">
        <f>G55*AO55</f>
        <v>0</v>
      </c>
      <c r="AX55" s="32">
        <f>G55*AP55</f>
        <v>0</v>
      </c>
      <c r="AY55" s="33" t="s">
        <v>709</v>
      </c>
      <c r="AZ55" s="33" t="s">
        <v>733</v>
      </c>
      <c r="BA55" s="28" t="s">
        <v>739</v>
      </c>
      <c r="BC55" s="32">
        <f>AW55+AX55</f>
        <v>0</v>
      </c>
      <c r="BD55" s="32">
        <f>H55/(100-BE55)*100</f>
        <v>0</v>
      </c>
      <c r="BE55" s="32">
        <v>0</v>
      </c>
      <c r="BF55" s="32">
        <f>53</f>
        <v>53</v>
      </c>
      <c r="BH55" s="15">
        <f>G55*AO55</f>
        <v>0</v>
      </c>
      <c r="BI55" s="15">
        <f>G55*AP55</f>
        <v>0</v>
      </c>
      <c r="BJ55" s="15">
        <f>G55*H55</f>
        <v>0</v>
      </c>
    </row>
    <row r="56" spans="1:62" x14ac:dyDescent="0.2">
      <c r="C56" s="58" t="s">
        <v>345</v>
      </c>
      <c r="D56" s="59"/>
      <c r="E56" s="59"/>
      <c r="G56" s="16">
        <v>190.70500000000001</v>
      </c>
    </row>
    <row r="57" spans="1:62" x14ac:dyDescent="0.2">
      <c r="A57" s="5"/>
      <c r="B57" s="13" t="s">
        <v>68</v>
      </c>
      <c r="C57" s="66" t="s">
        <v>346</v>
      </c>
      <c r="D57" s="67"/>
      <c r="E57" s="67"/>
      <c r="F57" s="5" t="s">
        <v>6</v>
      </c>
      <c r="G57" s="5" t="s">
        <v>6</v>
      </c>
      <c r="H57" s="5" t="s">
        <v>6</v>
      </c>
      <c r="I57" s="35">
        <f>SUM(I58:I121)</f>
        <v>0</v>
      </c>
      <c r="J57" s="35">
        <f>SUM(J58:J121)</f>
        <v>0</v>
      </c>
      <c r="K57" s="35">
        <f>SUM(K58:K121)</f>
        <v>0</v>
      </c>
      <c r="L57" s="28"/>
      <c r="AI57" s="28"/>
      <c r="AS57" s="35">
        <f>SUM(AJ58:AJ121)</f>
        <v>0</v>
      </c>
      <c r="AT57" s="35">
        <f>SUM(AK58:AK121)</f>
        <v>0</v>
      </c>
      <c r="AU57" s="35">
        <f>SUM(AL58:AL121)</f>
        <v>0</v>
      </c>
    </row>
    <row r="58" spans="1:62" x14ac:dyDescent="0.2">
      <c r="A58" s="4" t="s">
        <v>21</v>
      </c>
      <c r="B58" s="4" t="s">
        <v>162</v>
      </c>
      <c r="C58" s="60" t="s">
        <v>347</v>
      </c>
      <c r="D58" s="61"/>
      <c r="E58" s="61"/>
      <c r="F58" s="4" t="s">
        <v>670</v>
      </c>
      <c r="G58" s="15">
        <v>17</v>
      </c>
      <c r="H58" s="15">
        <v>0</v>
      </c>
      <c r="I58" s="15">
        <f>G58*AO58</f>
        <v>0</v>
      </c>
      <c r="J58" s="15">
        <f>G58*AP58</f>
        <v>0</v>
      </c>
      <c r="K58" s="15">
        <f>G58*H58</f>
        <v>0</v>
      </c>
      <c r="L58" s="27" t="s">
        <v>690</v>
      </c>
      <c r="Z58" s="32">
        <f>IF(AQ58="5",BJ58,0)</f>
        <v>0</v>
      </c>
      <c r="AB58" s="32">
        <f>IF(AQ58="1",BH58,0)</f>
        <v>0</v>
      </c>
      <c r="AC58" s="32">
        <f>IF(AQ58="1",BI58,0)</f>
        <v>0</v>
      </c>
      <c r="AD58" s="32">
        <f>IF(AQ58="7",BH58,0)</f>
        <v>0</v>
      </c>
      <c r="AE58" s="32">
        <f>IF(AQ58="7",BI58,0)</f>
        <v>0</v>
      </c>
      <c r="AF58" s="32">
        <f>IF(AQ58="2",BH58,0)</f>
        <v>0</v>
      </c>
      <c r="AG58" s="32">
        <f>IF(AQ58="2",BI58,0)</f>
        <v>0</v>
      </c>
      <c r="AH58" s="32">
        <f>IF(AQ58="0",BJ58,0)</f>
        <v>0</v>
      </c>
      <c r="AI58" s="28"/>
      <c r="AJ58" s="15">
        <f>IF(AN58=0,K58,0)</f>
        <v>0</v>
      </c>
      <c r="AK58" s="15">
        <f>IF(AN58=15,K58,0)</f>
        <v>0</v>
      </c>
      <c r="AL58" s="15">
        <f>IF(AN58=21,K58,0)</f>
        <v>0</v>
      </c>
      <c r="AN58" s="32">
        <v>21</v>
      </c>
      <c r="AO58" s="32">
        <f>H58*0.707709923664122</f>
        <v>0</v>
      </c>
      <c r="AP58" s="32">
        <f>H58*(1-0.707709923664122)</f>
        <v>0</v>
      </c>
      <c r="AQ58" s="27" t="s">
        <v>7</v>
      </c>
      <c r="AV58" s="32">
        <f>AW58+AX58</f>
        <v>0</v>
      </c>
      <c r="AW58" s="32">
        <f>G58*AO58</f>
        <v>0</v>
      </c>
      <c r="AX58" s="32">
        <f>G58*AP58</f>
        <v>0</v>
      </c>
      <c r="AY58" s="33" t="s">
        <v>710</v>
      </c>
      <c r="AZ58" s="33" t="s">
        <v>733</v>
      </c>
      <c r="BA58" s="28" t="s">
        <v>739</v>
      </c>
      <c r="BC58" s="32">
        <f>AW58+AX58</f>
        <v>0</v>
      </c>
      <c r="BD58" s="32">
        <f>H58/(100-BE58)*100</f>
        <v>0</v>
      </c>
      <c r="BE58" s="32">
        <v>0</v>
      </c>
      <c r="BF58" s="32">
        <f>56</f>
        <v>56</v>
      </c>
      <c r="BH58" s="15">
        <f>G58*AO58</f>
        <v>0</v>
      </c>
      <c r="BI58" s="15">
        <f>G58*AP58</f>
        <v>0</v>
      </c>
      <c r="BJ58" s="15">
        <f>G58*H58</f>
        <v>0</v>
      </c>
    </row>
    <row r="59" spans="1:62" x14ac:dyDescent="0.2">
      <c r="C59" s="58" t="s">
        <v>348</v>
      </c>
      <c r="D59" s="59"/>
      <c r="E59" s="59"/>
      <c r="G59" s="16">
        <v>17</v>
      </c>
    </row>
    <row r="60" spans="1:62" x14ac:dyDescent="0.2">
      <c r="A60" s="4" t="s">
        <v>22</v>
      </c>
      <c r="B60" s="4" t="s">
        <v>163</v>
      </c>
      <c r="C60" s="60" t="s">
        <v>349</v>
      </c>
      <c r="D60" s="61"/>
      <c r="E60" s="61"/>
      <c r="F60" s="4" t="s">
        <v>667</v>
      </c>
      <c r="G60" s="15">
        <v>35.1</v>
      </c>
      <c r="H60" s="15">
        <v>0</v>
      </c>
      <c r="I60" s="15">
        <f>G60*AO60</f>
        <v>0</v>
      </c>
      <c r="J60" s="15">
        <f>G60*AP60</f>
        <v>0</v>
      </c>
      <c r="K60" s="15">
        <f>G60*H60</f>
        <v>0</v>
      </c>
      <c r="L60" s="27" t="s">
        <v>690</v>
      </c>
      <c r="Z60" s="32">
        <f>IF(AQ60="5",BJ60,0)</f>
        <v>0</v>
      </c>
      <c r="AB60" s="32">
        <f>IF(AQ60="1",BH60,0)</f>
        <v>0</v>
      </c>
      <c r="AC60" s="32">
        <f>IF(AQ60="1",BI60,0)</f>
        <v>0</v>
      </c>
      <c r="AD60" s="32">
        <f>IF(AQ60="7",BH60,0)</f>
        <v>0</v>
      </c>
      <c r="AE60" s="32">
        <f>IF(AQ60="7",BI60,0)</f>
        <v>0</v>
      </c>
      <c r="AF60" s="32">
        <f>IF(AQ60="2",BH60,0)</f>
        <v>0</v>
      </c>
      <c r="AG60" s="32">
        <f>IF(AQ60="2",BI60,0)</f>
        <v>0</v>
      </c>
      <c r="AH60" s="32">
        <f>IF(AQ60="0",BJ60,0)</f>
        <v>0</v>
      </c>
      <c r="AI60" s="28"/>
      <c r="AJ60" s="15">
        <f>IF(AN60=0,K60,0)</f>
        <v>0</v>
      </c>
      <c r="AK60" s="15">
        <f>IF(AN60=15,K60,0)</f>
        <v>0</v>
      </c>
      <c r="AL60" s="15">
        <f>IF(AN60=21,K60,0)</f>
        <v>0</v>
      </c>
      <c r="AN60" s="32">
        <v>21</v>
      </c>
      <c r="AO60" s="32">
        <f>H60*0.612617513338197</f>
        <v>0</v>
      </c>
      <c r="AP60" s="32">
        <f>H60*(1-0.612617513338197)</f>
        <v>0</v>
      </c>
      <c r="AQ60" s="27" t="s">
        <v>7</v>
      </c>
      <c r="AV60" s="32">
        <f>AW60+AX60</f>
        <v>0</v>
      </c>
      <c r="AW60" s="32">
        <f>G60*AO60</f>
        <v>0</v>
      </c>
      <c r="AX60" s="32">
        <f>G60*AP60</f>
        <v>0</v>
      </c>
      <c r="AY60" s="33" t="s">
        <v>710</v>
      </c>
      <c r="AZ60" s="33" t="s">
        <v>733</v>
      </c>
      <c r="BA60" s="28" t="s">
        <v>739</v>
      </c>
      <c r="BC60" s="32">
        <f>AW60+AX60</f>
        <v>0</v>
      </c>
      <c r="BD60" s="32">
        <f>H60/(100-BE60)*100</f>
        <v>0</v>
      </c>
      <c r="BE60" s="32">
        <v>0</v>
      </c>
      <c r="BF60" s="32">
        <f>58</f>
        <v>58</v>
      </c>
      <c r="BH60" s="15">
        <f>G60*AO60</f>
        <v>0</v>
      </c>
      <c r="BI60" s="15">
        <f>G60*AP60</f>
        <v>0</v>
      </c>
      <c r="BJ60" s="15">
        <f>G60*H60</f>
        <v>0</v>
      </c>
    </row>
    <row r="61" spans="1:62" x14ac:dyDescent="0.2">
      <c r="C61" s="58" t="s">
        <v>350</v>
      </c>
      <c r="D61" s="59"/>
      <c r="E61" s="59"/>
      <c r="G61" s="16">
        <v>35.1</v>
      </c>
    </row>
    <row r="62" spans="1:62" x14ac:dyDescent="0.2">
      <c r="A62" s="4" t="s">
        <v>23</v>
      </c>
      <c r="B62" s="4" t="s">
        <v>163</v>
      </c>
      <c r="C62" s="60" t="s">
        <v>351</v>
      </c>
      <c r="D62" s="61"/>
      <c r="E62" s="61"/>
      <c r="F62" s="4" t="s">
        <v>667</v>
      </c>
      <c r="G62" s="15">
        <v>58.5</v>
      </c>
      <c r="H62" s="15">
        <v>0</v>
      </c>
      <c r="I62" s="15">
        <f>G62*AO62</f>
        <v>0</v>
      </c>
      <c r="J62" s="15">
        <f>G62*AP62</f>
        <v>0</v>
      </c>
      <c r="K62" s="15">
        <f>G62*H62</f>
        <v>0</v>
      </c>
      <c r="L62" s="27" t="s">
        <v>690</v>
      </c>
      <c r="Z62" s="32">
        <f>IF(AQ62="5",BJ62,0)</f>
        <v>0</v>
      </c>
      <c r="AB62" s="32">
        <f>IF(AQ62="1",BH62,0)</f>
        <v>0</v>
      </c>
      <c r="AC62" s="32">
        <f>IF(AQ62="1",BI62,0)</f>
        <v>0</v>
      </c>
      <c r="AD62" s="32">
        <f>IF(AQ62="7",BH62,0)</f>
        <v>0</v>
      </c>
      <c r="AE62" s="32">
        <f>IF(AQ62="7",BI62,0)</f>
        <v>0</v>
      </c>
      <c r="AF62" s="32">
        <f>IF(AQ62="2",BH62,0)</f>
        <v>0</v>
      </c>
      <c r="AG62" s="32">
        <f>IF(AQ62="2",BI62,0)</f>
        <v>0</v>
      </c>
      <c r="AH62" s="32">
        <f>IF(AQ62="0",BJ62,0)</f>
        <v>0</v>
      </c>
      <c r="AI62" s="28"/>
      <c r="AJ62" s="15">
        <f>IF(AN62=0,K62,0)</f>
        <v>0</v>
      </c>
      <c r="AK62" s="15">
        <f>IF(AN62=15,K62,0)</f>
        <v>0</v>
      </c>
      <c r="AL62" s="15">
        <f>IF(AN62=21,K62,0)</f>
        <v>0</v>
      </c>
      <c r="AN62" s="32">
        <v>21</v>
      </c>
      <c r="AO62" s="32">
        <f>H62*0.612617445755157</f>
        <v>0</v>
      </c>
      <c r="AP62" s="32">
        <f>H62*(1-0.612617445755157)</f>
        <v>0</v>
      </c>
      <c r="AQ62" s="27" t="s">
        <v>7</v>
      </c>
      <c r="AV62" s="32">
        <f>AW62+AX62</f>
        <v>0</v>
      </c>
      <c r="AW62" s="32">
        <f>G62*AO62</f>
        <v>0</v>
      </c>
      <c r="AX62" s="32">
        <f>G62*AP62</f>
        <v>0</v>
      </c>
      <c r="AY62" s="33" t="s">
        <v>710</v>
      </c>
      <c r="AZ62" s="33" t="s">
        <v>733</v>
      </c>
      <c r="BA62" s="28" t="s">
        <v>739</v>
      </c>
      <c r="BC62" s="32">
        <f>AW62+AX62</f>
        <v>0</v>
      </c>
      <c r="BD62" s="32">
        <f>H62/(100-BE62)*100</f>
        <v>0</v>
      </c>
      <c r="BE62" s="32">
        <v>0</v>
      </c>
      <c r="BF62" s="32">
        <f>60</f>
        <v>60</v>
      </c>
      <c r="BH62" s="15">
        <f>G62*AO62</f>
        <v>0</v>
      </c>
      <c r="BI62" s="15">
        <f>G62*AP62</f>
        <v>0</v>
      </c>
      <c r="BJ62" s="15">
        <f>G62*H62</f>
        <v>0</v>
      </c>
    </row>
    <row r="63" spans="1:62" x14ac:dyDescent="0.2">
      <c r="C63" s="58" t="s">
        <v>352</v>
      </c>
      <c r="D63" s="59"/>
      <c r="E63" s="59"/>
      <c r="G63" s="16">
        <v>58.5</v>
      </c>
    </row>
    <row r="64" spans="1:62" x14ac:dyDescent="0.2">
      <c r="A64" s="4" t="s">
        <v>24</v>
      </c>
      <c r="B64" s="4" t="s">
        <v>164</v>
      </c>
      <c r="C64" s="60" t="s">
        <v>353</v>
      </c>
      <c r="D64" s="61"/>
      <c r="E64" s="61"/>
      <c r="F64" s="4" t="s">
        <v>667</v>
      </c>
      <c r="G64" s="15">
        <v>117</v>
      </c>
      <c r="H64" s="15">
        <v>0</v>
      </c>
      <c r="I64" s="15">
        <f>G64*AO64</f>
        <v>0</v>
      </c>
      <c r="J64" s="15">
        <f>G64*AP64</f>
        <v>0</v>
      </c>
      <c r="K64" s="15">
        <f>G64*H64</f>
        <v>0</v>
      </c>
      <c r="L64" s="27" t="s">
        <v>690</v>
      </c>
      <c r="Z64" s="32">
        <f>IF(AQ64="5",BJ64,0)</f>
        <v>0</v>
      </c>
      <c r="AB64" s="32">
        <f>IF(AQ64="1",BH64,0)</f>
        <v>0</v>
      </c>
      <c r="AC64" s="32">
        <f>IF(AQ64="1",BI64,0)</f>
        <v>0</v>
      </c>
      <c r="AD64" s="32">
        <f>IF(AQ64="7",BH64,0)</f>
        <v>0</v>
      </c>
      <c r="AE64" s="32">
        <f>IF(AQ64="7",BI64,0)</f>
        <v>0</v>
      </c>
      <c r="AF64" s="32">
        <f>IF(AQ64="2",BH64,0)</f>
        <v>0</v>
      </c>
      <c r="AG64" s="32">
        <f>IF(AQ64="2",BI64,0)</f>
        <v>0</v>
      </c>
      <c r="AH64" s="32">
        <f>IF(AQ64="0",BJ64,0)</f>
        <v>0</v>
      </c>
      <c r="AI64" s="28"/>
      <c r="AJ64" s="15">
        <f>IF(AN64=0,K64,0)</f>
        <v>0</v>
      </c>
      <c r="AK64" s="15">
        <f>IF(AN64=15,K64,0)</f>
        <v>0</v>
      </c>
      <c r="AL64" s="15">
        <f>IF(AN64=21,K64,0)</f>
        <v>0</v>
      </c>
      <c r="AN64" s="32">
        <v>21</v>
      </c>
      <c r="AO64" s="32">
        <f>H64*0.663979899497487</f>
        <v>0</v>
      </c>
      <c r="AP64" s="32">
        <f>H64*(1-0.663979899497487)</f>
        <v>0</v>
      </c>
      <c r="AQ64" s="27" t="s">
        <v>7</v>
      </c>
      <c r="AV64" s="32">
        <f>AW64+AX64</f>
        <v>0</v>
      </c>
      <c r="AW64" s="32">
        <f>G64*AO64</f>
        <v>0</v>
      </c>
      <c r="AX64" s="32">
        <f>G64*AP64</f>
        <v>0</v>
      </c>
      <c r="AY64" s="33" t="s">
        <v>710</v>
      </c>
      <c r="AZ64" s="33" t="s">
        <v>733</v>
      </c>
      <c r="BA64" s="28" t="s">
        <v>739</v>
      </c>
      <c r="BC64" s="32">
        <f>AW64+AX64</f>
        <v>0</v>
      </c>
      <c r="BD64" s="32">
        <f>H64/(100-BE64)*100</f>
        <v>0</v>
      </c>
      <c r="BE64" s="32">
        <v>0</v>
      </c>
      <c r="BF64" s="32">
        <f>62</f>
        <v>62</v>
      </c>
      <c r="BH64" s="15">
        <f>G64*AO64</f>
        <v>0</v>
      </c>
      <c r="BI64" s="15">
        <f>G64*AP64</f>
        <v>0</v>
      </c>
      <c r="BJ64" s="15">
        <f>G64*H64</f>
        <v>0</v>
      </c>
    </row>
    <row r="65" spans="1:62" x14ac:dyDescent="0.2">
      <c r="C65" s="58" t="s">
        <v>354</v>
      </c>
      <c r="D65" s="59"/>
      <c r="E65" s="59"/>
      <c r="G65" s="16">
        <v>117</v>
      </c>
    </row>
    <row r="66" spans="1:62" x14ac:dyDescent="0.2">
      <c r="A66" s="4" t="s">
        <v>25</v>
      </c>
      <c r="B66" s="4" t="s">
        <v>165</v>
      </c>
      <c r="C66" s="60" t="s">
        <v>355</v>
      </c>
      <c r="D66" s="61"/>
      <c r="E66" s="61"/>
      <c r="F66" s="4" t="s">
        <v>667</v>
      </c>
      <c r="G66" s="15">
        <v>567.96</v>
      </c>
      <c r="H66" s="15">
        <v>0</v>
      </c>
      <c r="I66" s="15">
        <f>G66*AO66</f>
        <v>0</v>
      </c>
      <c r="J66" s="15">
        <f>G66*AP66</f>
        <v>0</v>
      </c>
      <c r="K66" s="15">
        <f>G66*H66</f>
        <v>0</v>
      </c>
      <c r="L66" s="27" t="s">
        <v>690</v>
      </c>
      <c r="Z66" s="32">
        <f>IF(AQ66="5",BJ66,0)</f>
        <v>0</v>
      </c>
      <c r="AB66" s="32">
        <f>IF(AQ66="1",BH66,0)</f>
        <v>0</v>
      </c>
      <c r="AC66" s="32">
        <f>IF(AQ66="1",BI66,0)</f>
        <v>0</v>
      </c>
      <c r="AD66" s="32">
        <f>IF(AQ66="7",BH66,0)</f>
        <v>0</v>
      </c>
      <c r="AE66" s="32">
        <f>IF(AQ66="7",BI66,0)</f>
        <v>0</v>
      </c>
      <c r="AF66" s="32">
        <f>IF(AQ66="2",BH66,0)</f>
        <v>0</v>
      </c>
      <c r="AG66" s="32">
        <f>IF(AQ66="2",BI66,0)</f>
        <v>0</v>
      </c>
      <c r="AH66" s="32">
        <f>IF(AQ66="0",BJ66,0)</f>
        <v>0</v>
      </c>
      <c r="AI66" s="28"/>
      <c r="AJ66" s="15">
        <f>IF(AN66=0,K66,0)</f>
        <v>0</v>
      </c>
      <c r="AK66" s="15">
        <f>IF(AN66=15,K66,0)</f>
        <v>0</v>
      </c>
      <c r="AL66" s="15">
        <f>IF(AN66=21,K66,0)</f>
        <v>0</v>
      </c>
      <c r="AN66" s="32">
        <v>21</v>
      </c>
      <c r="AO66" s="32">
        <f>H66*0.474687224669604</f>
        <v>0</v>
      </c>
      <c r="AP66" s="32">
        <f>H66*(1-0.474687224669604)</f>
        <v>0</v>
      </c>
      <c r="AQ66" s="27" t="s">
        <v>7</v>
      </c>
      <c r="AV66" s="32">
        <f>AW66+AX66</f>
        <v>0</v>
      </c>
      <c r="AW66" s="32">
        <f>G66*AO66</f>
        <v>0</v>
      </c>
      <c r="AX66" s="32">
        <f>G66*AP66</f>
        <v>0</v>
      </c>
      <c r="AY66" s="33" t="s">
        <v>710</v>
      </c>
      <c r="AZ66" s="33" t="s">
        <v>733</v>
      </c>
      <c r="BA66" s="28" t="s">
        <v>739</v>
      </c>
      <c r="BC66" s="32">
        <f>AW66+AX66</f>
        <v>0</v>
      </c>
      <c r="BD66" s="32">
        <f>H66/(100-BE66)*100</f>
        <v>0</v>
      </c>
      <c r="BE66" s="32">
        <v>0</v>
      </c>
      <c r="BF66" s="32">
        <f>64</f>
        <v>64</v>
      </c>
      <c r="BH66" s="15">
        <f>G66*AO66</f>
        <v>0</v>
      </c>
      <c r="BI66" s="15">
        <f>G66*AP66</f>
        <v>0</v>
      </c>
      <c r="BJ66" s="15">
        <f>G66*H66</f>
        <v>0</v>
      </c>
    </row>
    <row r="67" spans="1:62" x14ac:dyDescent="0.2">
      <c r="C67" s="58" t="s">
        <v>356</v>
      </c>
      <c r="D67" s="59"/>
      <c r="E67" s="59"/>
      <c r="G67" s="16">
        <v>830.7</v>
      </c>
    </row>
    <row r="68" spans="1:62" x14ac:dyDescent="0.2">
      <c r="C68" s="58" t="s">
        <v>357</v>
      </c>
      <c r="D68" s="59"/>
      <c r="E68" s="59"/>
      <c r="G68" s="16">
        <v>-262.74</v>
      </c>
    </row>
    <row r="69" spans="1:62" x14ac:dyDescent="0.2">
      <c r="C69" s="58" t="s">
        <v>358</v>
      </c>
      <c r="D69" s="59"/>
      <c r="E69" s="59"/>
      <c r="G69" s="16">
        <v>0</v>
      </c>
    </row>
    <row r="70" spans="1:62" x14ac:dyDescent="0.2">
      <c r="A70" s="4" t="s">
        <v>26</v>
      </c>
      <c r="B70" s="4" t="s">
        <v>166</v>
      </c>
      <c r="C70" s="60" t="s">
        <v>359</v>
      </c>
      <c r="D70" s="61"/>
      <c r="E70" s="61"/>
      <c r="F70" s="4" t="s">
        <v>667</v>
      </c>
      <c r="G70" s="15">
        <v>87.873000000000005</v>
      </c>
      <c r="H70" s="15">
        <v>0</v>
      </c>
      <c r="I70" s="15">
        <f>G70*AO70</f>
        <v>0</v>
      </c>
      <c r="J70" s="15">
        <f>G70*AP70</f>
        <v>0</v>
      </c>
      <c r="K70" s="15">
        <f>G70*H70</f>
        <v>0</v>
      </c>
      <c r="L70" s="27" t="s">
        <v>690</v>
      </c>
      <c r="Z70" s="32">
        <f>IF(AQ70="5",BJ70,0)</f>
        <v>0</v>
      </c>
      <c r="AB70" s="32">
        <f>IF(AQ70="1",BH70,0)</f>
        <v>0</v>
      </c>
      <c r="AC70" s="32">
        <f>IF(AQ70="1",BI70,0)</f>
        <v>0</v>
      </c>
      <c r="AD70" s="32">
        <f>IF(AQ70="7",BH70,0)</f>
        <v>0</v>
      </c>
      <c r="AE70" s="32">
        <f>IF(AQ70="7",BI70,0)</f>
        <v>0</v>
      </c>
      <c r="AF70" s="32">
        <f>IF(AQ70="2",BH70,0)</f>
        <v>0</v>
      </c>
      <c r="AG70" s="32">
        <f>IF(AQ70="2",BI70,0)</f>
        <v>0</v>
      </c>
      <c r="AH70" s="32">
        <f>IF(AQ70="0",BJ70,0)</f>
        <v>0</v>
      </c>
      <c r="AI70" s="28"/>
      <c r="AJ70" s="15">
        <f>IF(AN70=0,K70,0)</f>
        <v>0</v>
      </c>
      <c r="AK70" s="15">
        <f>IF(AN70=15,K70,0)</f>
        <v>0</v>
      </c>
      <c r="AL70" s="15">
        <f>IF(AN70=21,K70,0)</f>
        <v>0</v>
      </c>
      <c r="AN70" s="32">
        <v>21</v>
      </c>
      <c r="AO70" s="32">
        <f>H70*0.346495192307692</f>
        <v>0</v>
      </c>
      <c r="AP70" s="32">
        <f>H70*(1-0.346495192307692)</f>
        <v>0</v>
      </c>
      <c r="AQ70" s="27" t="s">
        <v>7</v>
      </c>
      <c r="AV70" s="32">
        <f>AW70+AX70</f>
        <v>0</v>
      </c>
      <c r="AW70" s="32">
        <f>G70*AO70</f>
        <v>0</v>
      </c>
      <c r="AX70" s="32">
        <f>G70*AP70</f>
        <v>0</v>
      </c>
      <c r="AY70" s="33" t="s">
        <v>710</v>
      </c>
      <c r="AZ70" s="33" t="s">
        <v>733</v>
      </c>
      <c r="BA70" s="28" t="s">
        <v>739</v>
      </c>
      <c r="BC70" s="32">
        <f>AW70+AX70</f>
        <v>0</v>
      </c>
      <c r="BD70" s="32">
        <f>H70/(100-BE70)*100</f>
        <v>0</v>
      </c>
      <c r="BE70" s="32">
        <v>0</v>
      </c>
      <c r="BF70" s="32">
        <f>68</f>
        <v>68</v>
      </c>
      <c r="BH70" s="15">
        <f>G70*AO70</f>
        <v>0</v>
      </c>
      <c r="BI70" s="15">
        <f>G70*AP70</f>
        <v>0</v>
      </c>
      <c r="BJ70" s="15">
        <f>G70*H70</f>
        <v>0</v>
      </c>
    </row>
    <row r="71" spans="1:62" x14ac:dyDescent="0.2">
      <c r="C71" s="58" t="s">
        <v>360</v>
      </c>
      <c r="D71" s="59"/>
      <c r="E71" s="59"/>
      <c r="G71" s="16">
        <v>4.05</v>
      </c>
    </row>
    <row r="72" spans="1:62" x14ac:dyDescent="0.2">
      <c r="C72" s="58" t="s">
        <v>361</v>
      </c>
      <c r="D72" s="59"/>
      <c r="E72" s="59"/>
      <c r="G72" s="16">
        <v>0</v>
      </c>
    </row>
    <row r="73" spans="1:62" x14ac:dyDescent="0.2">
      <c r="C73" s="58" t="s">
        <v>362</v>
      </c>
      <c r="D73" s="59"/>
      <c r="E73" s="59"/>
      <c r="G73" s="16">
        <v>1.98</v>
      </c>
    </row>
    <row r="74" spans="1:62" x14ac:dyDescent="0.2">
      <c r="C74" s="58" t="s">
        <v>363</v>
      </c>
      <c r="D74" s="59"/>
      <c r="E74" s="59"/>
      <c r="G74" s="16">
        <v>1.71</v>
      </c>
    </row>
    <row r="75" spans="1:62" x14ac:dyDescent="0.2">
      <c r="C75" s="58" t="s">
        <v>364</v>
      </c>
      <c r="D75" s="59"/>
      <c r="E75" s="59"/>
      <c r="G75" s="16">
        <v>2.1030000000000002</v>
      </c>
    </row>
    <row r="76" spans="1:62" x14ac:dyDescent="0.2">
      <c r="C76" s="58" t="s">
        <v>365</v>
      </c>
      <c r="D76" s="59"/>
      <c r="E76" s="59"/>
      <c r="G76" s="16">
        <v>2.4300000000000002</v>
      </c>
    </row>
    <row r="77" spans="1:62" x14ac:dyDescent="0.2">
      <c r="C77" s="58" t="s">
        <v>366</v>
      </c>
      <c r="D77" s="59"/>
      <c r="E77" s="59"/>
      <c r="G77" s="16">
        <v>75.599999999999994</v>
      </c>
    </row>
    <row r="78" spans="1:62" x14ac:dyDescent="0.2">
      <c r="A78" s="4" t="s">
        <v>27</v>
      </c>
      <c r="B78" s="4" t="s">
        <v>167</v>
      </c>
      <c r="C78" s="60" t="s">
        <v>367</v>
      </c>
      <c r="D78" s="61"/>
      <c r="E78" s="61"/>
      <c r="F78" s="4" t="s">
        <v>667</v>
      </c>
      <c r="G78" s="15">
        <v>33.119999999999997</v>
      </c>
      <c r="H78" s="15">
        <v>0</v>
      </c>
      <c r="I78" s="15">
        <f>G78*AO78</f>
        <v>0</v>
      </c>
      <c r="J78" s="15">
        <f>G78*AP78</f>
        <v>0</v>
      </c>
      <c r="K78" s="15">
        <f>G78*H78</f>
        <v>0</v>
      </c>
      <c r="L78" s="27" t="s">
        <v>690</v>
      </c>
      <c r="Z78" s="32">
        <f>IF(AQ78="5",BJ78,0)</f>
        <v>0</v>
      </c>
      <c r="AB78" s="32">
        <f>IF(AQ78="1",BH78,0)</f>
        <v>0</v>
      </c>
      <c r="AC78" s="32">
        <f>IF(AQ78="1",BI78,0)</f>
        <v>0</v>
      </c>
      <c r="AD78" s="32">
        <f>IF(AQ78="7",BH78,0)</f>
        <v>0</v>
      </c>
      <c r="AE78" s="32">
        <f>IF(AQ78="7",BI78,0)</f>
        <v>0</v>
      </c>
      <c r="AF78" s="32">
        <f>IF(AQ78="2",BH78,0)</f>
        <v>0</v>
      </c>
      <c r="AG78" s="32">
        <f>IF(AQ78="2",BI78,0)</f>
        <v>0</v>
      </c>
      <c r="AH78" s="32">
        <f>IF(AQ78="0",BJ78,0)</f>
        <v>0</v>
      </c>
      <c r="AI78" s="28"/>
      <c r="AJ78" s="15">
        <f>IF(AN78=0,K78,0)</f>
        <v>0</v>
      </c>
      <c r="AK78" s="15">
        <f>IF(AN78=15,K78,0)</f>
        <v>0</v>
      </c>
      <c r="AL78" s="15">
        <f>IF(AN78=21,K78,0)</f>
        <v>0</v>
      </c>
      <c r="AN78" s="32">
        <v>21</v>
      </c>
      <c r="AO78" s="32">
        <f>H78*0.315567253309202</f>
        <v>0</v>
      </c>
      <c r="AP78" s="32">
        <f>H78*(1-0.315567253309202)</f>
        <v>0</v>
      </c>
      <c r="AQ78" s="27" t="s">
        <v>7</v>
      </c>
      <c r="AV78" s="32">
        <f>AW78+AX78</f>
        <v>0</v>
      </c>
      <c r="AW78" s="32">
        <f>G78*AO78</f>
        <v>0</v>
      </c>
      <c r="AX78" s="32">
        <f>G78*AP78</f>
        <v>0</v>
      </c>
      <c r="AY78" s="33" t="s">
        <v>710</v>
      </c>
      <c r="AZ78" s="33" t="s">
        <v>733</v>
      </c>
      <c r="BA78" s="28" t="s">
        <v>739</v>
      </c>
      <c r="BC78" s="32">
        <f>AW78+AX78</f>
        <v>0</v>
      </c>
      <c r="BD78" s="32">
        <f>H78/(100-BE78)*100</f>
        <v>0</v>
      </c>
      <c r="BE78" s="32">
        <v>0</v>
      </c>
      <c r="BF78" s="32">
        <f>76</f>
        <v>76</v>
      </c>
      <c r="BH78" s="15">
        <f>G78*AO78</f>
        <v>0</v>
      </c>
      <c r="BI78" s="15">
        <f>G78*AP78</f>
        <v>0</v>
      </c>
      <c r="BJ78" s="15">
        <f>G78*H78</f>
        <v>0</v>
      </c>
    </row>
    <row r="79" spans="1:62" x14ac:dyDescent="0.2">
      <c r="C79" s="58" t="s">
        <v>368</v>
      </c>
      <c r="D79" s="59"/>
      <c r="E79" s="59"/>
      <c r="G79" s="16">
        <v>33.119999999999997</v>
      </c>
    </row>
    <row r="80" spans="1:62" x14ac:dyDescent="0.2">
      <c r="A80" s="4" t="s">
        <v>28</v>
      </c>
      <c r="B80" s="4" t="s">
        <v>168</v>
      </c>
      <c r="C80" s="60" t="s">
        <v>369</v>
      </c>
      <c r="D80" s="61"/>
      <c r="E80" s="61"/>
      <c r="F80" s="4" t="s">
        <v>667</v>
      </c>
      <c r="G80" s="15">
        <v>234</v>
      </c>
      <c r="H80" s="15">
        <v>0</v>
      </c>
      <c r="I80" s="15">
        <f>G80*AO80</f>
        <v>0</v>
      </c>
      <c r="J80" s="15">
        <f>G80*AP80</f>
        <v>0</v>
      </c>
      <c r="K80" s="15">
        <f>G80*H80</f>
        <v>0</v>
      </c>
      <c r="L80" s="27" t="s">
        <v>690</v>
      </c>
      <c r="Z80" s="32">
        <f>IF(AQ80="5",BJ80,0)</f>
        <v>0</v>
      </c>
      <c r="AB80" s="32">
        <f>IF(AQ80="1",BH80,0)</f>
        <v>0</v>
      </c>
      <c r="AC80" s="32">
        <f>IF(AQ80="1",BI80,0)</f>
        <v>0</v>
      </c>
      <c r="AD80" s="32">
        <f>IF(AQ80="7",BH80,0)</f>
        <v>0</v>
      </c>
      <c r="AE80" s="32">
        <f>IF(AQ80="7",BI80,0)</f>
        <v>0</v>
      </c>
      <c r="AF80" s="32">
        <f>IF(AQ80="2",BH80,0)</f>
        <v>0</v>
      </c>
      <c r="AG80" s="32">
        <f>IF(AQ80="2",BI80,0)</f>
        <v>0</v>
      </c>
      <c r="AH80" s="32">
        <f>IF(AQ80="0",BJ80,0)</f>
        <v>0</v>
      </c>
      <c r="AI80" s="28"/>
      <c r="AJ80" s="15">
        <f>IF(AN80=0,K80,0)</f>
        <v>0</v>
      </c>
      <c r="AK80" s="15">
        <f>IF(AN80=15,K80,0)</f>
        <v>0</v>
      </c>
      <c r="AL80" s="15">
        <f>IF(AN80=21,K80,0)</f>
        <v>0</v>
      </c>
      <c r="AN80" s="32">
        <v>21</v>
      </c>
      <c r="AO80" s="32">
        <f>H80*0.229030100334448</f>
        <v>0</v>
      </c>
      <c r="AP80" s="32">
        <f>H80*(1-0.229030100334448)</f>
        <v>0</v>
      </c>
      <c r="AQ80" s="27" t="s">
        <v>7</v>
      </c>
      <c r="AV80" s="32">
        <f>AW80+AX80</f>
        <v>0</v>
      </c>
      <c r="AW80" s="32">
        <f>G80*AO80</f>
        <v>0</v>
      </c>
      <c r="AX80" s="32">
        <f>G80*AP80</f>
        <v>0</v>
      </c>
      <c r="AY80" s="33" t="s">
        <v>710</v>
      </c>
      <c r="AZ80" s="33" t="s">
        <v>733</v>
      </c>
      <c r="BA80" s="28" t="s">
        <v>739</v>
      </c>
      <c r="BC80" s="32">
        <f>AW80+AX80</f>
        <v>0</v>
      </c>
      <c r="BD80" s="32">
        <f>H80/(100-BE80)*100</f>
        <v>0</v>
      </c>
      <c r="BE80" s="32">
        <v>0</v>
      </c>
      <c r="BF80" s="32">
        <f>78</f>
        <v>78</v>
      </c>
      <c r="BH80" s="15">
        <f>G80*AO80</f>
        <v>0</v>
      </c>
      <c r="BI80" s="15">
        <f>G80*AP80</f>
        <v>0</v>
      </c>
      <c r="BJ80" s="15">
        <f>G80*H80</f>
        <v>0</v>
      </c>
    </row>
    <row r="81" spans="1:62" x14ac:dyDescent="0.2">
      <c r="C81" s="58" t="s">
        <v>370</v>
      </c>
      <c r="D81" s="59"/>
      <c r="E81" s="59"/>
      <c r="G81" s="16">
        <v>234</v>
      </c>
    </row>
    <row r="82" spans="1:62" x14ac:dyDescent="0.2">
      <c r="A82" s="4" t="s">
        <v>29</v>
      </c>
      <c r="B82" s="4" t="s">
        <v>169</v>
      </c>
      <c r="C82" s="60" t="s">
        <v>371</v>
      </c>
      <c r="D82" s="61"/>
      <c r="E82" s="61"/>
      <c r="F82" s="4" t="s">
        <v>667</v>
      </c>
      <c r="G82" s="15">
        <v>281.476</v>
      </c>
      <c r="H82" s="15">
        <v>0</v>
      </c>
      <c r="I82" s="15">
        <f>G82*AO82</f>
        <v>0</v>
      </c>
      <c r="J82" s="15">
        <f>G82*AP82</f>
        <v>0</v>
      </c>
      <c r="K82" s="15">
        <f>G82*H82</f>
        <v>0</v>
      </c>
      <c r="L82" s="27" t="s">
        <v>690</v>
      </c>
      <c r="Z82" s="32">
        <f>IF(AQ82="5",BJ82,0)</f>
        <v>0</v>
      </c>
      <c r="AB82" s="32">
        <f>IF(AQ82="1",BH82,0)</f>
        <v>0</v>
      </c>
      <c r="AC82" s="32">
        <f>IF(AQ82="1",BI82,0)</f>
        <v>0</v>
      </c>
      <c r="AD82" s="32">
        <f>IF(AQ82="7",BH82,0)</f>
        <v>0</v>
      </c>
      <c r="AE82" s="32">
        <f>IF(AQ82="7",BI82,0)</f>
        <v>0</v>
      </c>
      <c r="AF82" s="32">
        <f>IF(AQ82="2",BH82,0)</f>
        <v>0</v>
      </c>
      <c r="AG82" s="32">
        <f>IF(AQ82="2",BI82,0)</f>
        <v>0</v>
      </c>
      <c r="AH82" s="32">
        <f>IF(AQ82="0",BJ82,0)</f>
        <v>0</v>
      </c>
      <c r="AI82" s="28"/>
      <c r="AJ82" s="15">
        <f>IF(AN82=0,K82,0)</f>
        <v>0</v>
      </c>
      <c r="AK82" s="15">
        <f>IF(AN82=15,K82,0)</f>
        <v>0</v>
      </c>
      <c r="AL82" s="15">
        <f>IF(AN82=21,K82,0)</f>
        <v>0</v>
      </c>
      <c r="AN82" s="32">
        <v>21</v>
      </c>
      <c r="AO82" s="32">
        <f>H82*0.293654340009873</f>
        <v>0</v>
      </c>
      <c r="AP82" s="32">
        <f>H82*(1-0.293654340009873)</f>
        <v>0</v>
      </c>
      <c r="AQ82" s="27" t="s">
        <v>7</v>
      </c>
      <c r="AV82" s="32">
        <f>AW82+AX82</f>
        <v>0</v>
      </c>
      <c r="AW82" s="32">
        <f>G82*AO82</f>
        <v>0</v>
      </c>
      <c r="AX82" s="32">
        <f>G82*AP82</f>
        <v>0</v>
      </c>
      <c r="AY82" s="33" t="s">
        <v>710</v>
      </c>
      <c r="AZ82" s="33" t="s">
        <v>733</v>
      </c>
      <c r="BA82" s="28" t="s">
        <v>739</v>
      </c>
      <c r="BC82" s="32">
        <f>AW82+AX82</f>
        <v>0</v>
      </c>
      <c r="BD82" s="32">
        <f>H82/(100-BE82)*100</f>
        <v>0</v>
      </c>
      <c r="BE82" s="32">
        <v>0</v>
      </c>
      <c r="BF82" s="32">
        <f>80</f>
        <v>80</v>
      </c>
      <c r="BH82" s="15">
        <f>G82*AO82</f>
        <v>0</v>
      </c>
      <c r="BI82" s="15">
        <f>G82*AP82</f>
        <v>0</v>
      </c>
      <c r="BJ82" s="15">
        <f>G82*H82</f>
        <v>0</v>
      </c>
    </row>
    <row r="83" spans="1:62" x14ac:dyDescent="0.2">
      <c r="C83" s="58" t="s">
        <v>372</v>
      </c>
      <c r="D83" s="59"/>
      <c r="E83" s="59"/>
      <c r="G83" s="16">
        <v>281.476</v>
      </c>
    </row>
    <row r="84" spans="1:62" x14ac:dyDescent="0.2">
      <c r="A84" s="4" t="s">
        <v>30</v>
      </c>
      <c r="B84" s="4" t="s">
        <v>170</v>
      </c>
      <c r="C84" s="60" t="s">
        <v>373</v>
      </c>
      <c r="D84" s="61"/>
      <c r="E84" s="61"/>
      <c r="F84" s="4" t="s">
        <v>667</v>
      </c>
      <c r="G84" s="15">
        <v>58.5</v>
      </c>
      <c r="H84" s="15">
        <v>0</v>
      </c>
      <c r="I84" s="15">
        <f>G84*AO84</f>
        <v>0</v>
      </c>
      <c r="J84" s="15">
        <f>G84*AP84</f>
        <v>0</v>
      </c>
      <c r="K84" s="15">
        <f>G84*H84</f>
        <v>0</v>
      </c>
      <c r="L84" s="27" t="s">
        <v>690</v>
      </c>
      <c r="Z84" s="32">
        <f>IF(AQ84="5",BJ84,0)</f>
        <v>0</v>
      </c>
      <c r="AB84" s="32">
        <f>IF(AQ84="1",BH84,0)</f>
        <v>0</v>
      </c>
      <c r="AC84" s="32">
        <f>IF(AQ84="1",BI84,0)</f>
        <v>0</v>
      </c>
      <c r="AD84" s="32">
        <f>IF(AQ84="7",BH84,0)</f>
        <v>0</v>
      </c>
      <c r="AE84" s="32">
        <f>IF(AQ84="7",BI84,0)</f>
        <v>0</v>
      </c>
      <c r="AF84" s="32">
        <f>IF(AQ84="2",BH84,0)</f>
        <v>0</v>
      </c>
      <c r="AG84" s="32">
        <f>IF(AQ84="2",BI84,0)</f>
        <v>0</v>
      </c>
      <c r="AH84" s="32">
        <f>IF(AQ84="0",BJ84,0)</f>
        <v>0</v>
      </c>
      <c r="AI84" s="28"/>
      <c r="AJ84" s="15">
        <f>IF(AN84=0,K84,0)</f>
        <v>0</v>
      </c>
      <c r="AK84" s="15">
        <f>IF(AN84=15,K84,0)</f>
        <v>0</v>
      </c>
      <c r="AL84" s="15">
        <f>IF(AN84=21,K84,0)</f>
        <v>0</v>
      </c>
      <c r="AN84" s="32">
        <v>21</v>
      </c>
      <c r="AO84" s="32">
        <f>H84*0.543139653414883</f>
        <v>0</v>
      </c>
      <c r="AP84" s="32">
        <f>H84*(1-0.543139653414883)</f>
        <v>0</v>
      </c>
      <c r="AQ84" s="27" t="s">
        <v>7</v>
      </c>
      <c r="AV84" s="32">
        <f>AW84+AX84</f>
        <v>0</v>
      </c>
      <c r="AW84" s="32">
        <f>G84*AO84</f>
        <v>0</v>
      </c>
      <c r="AX84" s="32">
        <f>G84*AP84</f>
        <v>0</v>
      </c>
      <c r="AY84" s="33" t="s">
        <v>710</v>
      </c>
      <c r="AZ84" s="33" t="s">
        <v>733</v>
      </c>
      <c r="BA84" s="28" t="s">
        <v>739</v>
      </c>
      <c r="BC84" s="32">
        <f>AW84+AX84</f>
        <v>0</v>
      </c>
      <c r="BD84" s="32">
        <f>H84/(100-BE84)*100</f>
        <v>0</v>
      </c>
      <c r="BE84" s="32">
        <v>0</v>
      </c>
      <c r="BF84" s="32">
        <f>82</f>
        <v>82</v>
      </c>
      <c r="BH84" s="15">
        <f>G84*AO84</f>
        <v>0</v>
      </c>
      <c r="BI84" s="15">
        <f>G84*AP84</f>
        <v>0</v>
      </c>
      <c r="BJ84" s="15">
        <f>G84*H84</f>
        <v>0</v>
      </c>
    </row>
    <row r="85" spans="1:62" x14ac:dyDescent="0.2">
      <c r="C85" s="58" t="s">
        <v>374</v>
      </c>
      <c r="D85" s="59"/>
      <c r="E85" s="59"/>
      <c r="G85" s="16">
        <v>58.5</v>
      </c>
    </row>
    <row r="86" spans="1:62" x14ac:dyDescent="0.2">
      <c r="A86" s="4" t="s">
        <v>31</v>
      </c>
      <c r="B86" s="4" t="s">
        <v>171</v>
      </c>
      <c r="C86" s="60" t="s">
        <v>375</v>
      </c>
      <c r="D86" s="61"/>
      <c r="E86" s="61"/>
      <c r="F86" s="4" t="s">
        <v>670</v>
      </c>
      <c r="G86" s="15">
        <v>225.1</v>
      </c>
      <c r="H86" s="15">
        <v>0</v>
      </c>
      <c r="I86" s="15">
        <f>G86*AO86</f>
        <v>0</v>
      </c>
      <c r="J86" s="15">
        <f>G86*AP86</f>
        <v>0</v>
      </c>
      <c r="K86" s="15">
        <f>G86*H86</f>
        <v>0</v>
      </c>
      <c r="L86" s="27" t="s">
        <v>690</v>
      </c>
      <c r="Z86" s="32">
        <f>IF(AQ86="5",BJ86,0)</f>
        <v>0</v>
      </c>
      <c r="AB86" s="32">
        <f>IF(AQ86="1",BH86,0)</f>
        <v>0</v>
      </c>
      <c r="AC86" s="32">
        <f>IF(AQ86="1",BI86,0)</f>
        <v>0</v>
      </c>
      <c r="AD86" s="32">
        <f>IF(AQ86="7",BH86,0)</f>
        <v>0</v>
      </c>
      <c r="AE86" s="32">
        <f>IF(AQ86="7",BI86,0)</f>
        <v>0</v>
      </c>
      <c r="AF86" s="32">
        <f>IF(AQ86="2",BH86,0)</f>
        <v>0</v>
      </c>
      <c r="AG86" s="32">
        <f>IF(AQ86="2",BI86,0)</f>
        <v>0</v>
      </c>
      <c r="AH86" s="32">
        <f>IF(AQ86="0",BJ86,0)</f>
        <v>0</v>
      </c>
      <c r="AI86" s="28"/>
      <c r="AJ86" s="15">
        <f>IF(AN86=0,K86,0)</f>
        <v>0</v>
      </c>
      <c r="AK86" s="15">
        <f>IF(AN86=15,K86,0)</f>
        <v>0</v>
      </c>
      <c r="AL86" s="15">
        <f>IF(AN86=21,K86,0)</f>
        <v>0</v>
      </c>
      <c r="AN86" s="32">
        <v>21</v>
      </c>
      <c r="AO86" s="32">
        <f>H86*0</f>
        <v>0</v>
      </c>
      <c r="AP86" s="32">
        <f>H86*(1-0)</f>
        <v>0</v>
      </c>
      <c r="AQ86" s="27" t="s">
        <v>7</v>
      </c>
      <c r="AV86" s="32">
        <f>AW86+AX86</f>
        <v>0</v>
      </c>
      <c r="AW86" s="32">
        <f>G86*AO86</f>
        <v>0</v>
      </c>
      <c r="AX86" s="32">
        <f>G86*AP86</f>
        <v>0</v>
      </c>
      <c r="AY86" s="33" t="s">
        <v>710</v>
      </c>
      <c r="AZ86" s="33" t="s">
        <v>733</v>
      </c>
      <c r="BA86" s="28" t="s">
        <v>739</v>
      </c>
      <c r="BC86" s="32">
        <f>AW86+AX86</f>
        <v>0</v>
      </c>
      <c r="BD86" s="32">
        <f>H86/(100-BE86)*100</f>
        <v>0</v>
      </c>
      <c r="BE86" s="32">
        <v>0</v>
      </c>
      <c r="BF86" s="32">
        <f>84</f>
        <v>84</v>
      </c>
      <c r="BH86" s="15">
        <f>G86*AO86</f>
        <v>0</v>
      </c>
      <c r="BI86" s="15">
        <f>G86*AP86</f>
        <v>0</v>
      </c>
      <c r="BJ86" s="15">
        <f>G86*H86</f>
        <v>0</v>
      </c>
    </row>
    <row r="87" spans="1:62" x14ac:dyDescent="0.2">
      <c r="C87" s="58" t="s">
        <v>376</v>
      </c>
      <c r="D87" s="59"/>
      <c r="E87" s="59"/>
      <c r="G87" s="16">
        <v>114.7</v>
      </c>
    </row>
    <row r="88" spans="1:62" x14ac:dyDescent="0.2">
      <c r="C88" s="58" t="s">
        <v>377</v>
      </c>
      <c r="D88" s="59"/>
      <c r="E88" s="59"/>
      <c r="G88" s="16">
        <v>110.4</v>
      </c>
    </row>
    <row r="89" spans="1:62" x14ac:dyDescent="0.2">
      <c r="A89" s="6" t="s">
        <v>32</v>
      </c>
      <c r="B89" s="6" t="s">
        <v>172</v>
      </c>
      <c r="C89" s="68" t="s">
        <v>378</v>
      </c>
      <c r="D89" s="69"/>
      <c r="E89" s="69"/>
      <c r="F89" s="6" t="s">
        <v>670</v>
      </c>
      <c r="G89" s="17">
        <v>114.7</v>
      </c>
      <c r="H89" s="17">
        <v>0</v>
      </c>
      <c r="I89" s="17">
        <f>G89*AO89</f>
        <v>0</v>
      </c>
      <c r="J89" s="17">
        <f>G89*AP89</f>
        <v>0</v>
      </c>
      <c r="K89" s="17">
        <f>G89*H89</f>
        <v>0</v>
      </c>
      <c r="L89" s="29" t="s">
        <v>690</v>
      </c>
      <c r="Z89" s="32">
        <f>IF(AQ89="5",BJ89,0)</f>
        <v>0</v>
      </c>
      <c r="AB89" s="32">
        <f>IF(AQ89="1",BH89,0)</f>
        <v>0</v>
      </c>
      <c r="AC89" s="32">
        <f>IF(AQ89="1",BI89,0)</f>
        <v>0</v>
      </c>
      <c r="AD89" s="32">
        <f>IF(AQ89="7",BH89,0)</f>
        <v>0</v>
      </c>
      <c r="AE89" s="32">
        <f>IF(AQ89="7",BI89,0)</f>
        <v>0</v>
      </c>
      <c r="AF89" s="32">
        <f>IF(AQ89="2",BH89,0)</f>
        <v>0</v>
      </c>
      <c r="AG89" s="32">
        <f>IF(AQ89="2",BI89,0)</f>
        <v>0</v>
      </c>
      <c r="AH89" s="32">
        <f>IF(AQ89="0",BJ89,0)</f>
        <v>0</v>
      </c>
      <c r="AI89" s="28"/>
      <c r="AJ89" s="17">
        <f>IF(AN89=0,K89,0)</f>
        <v>0</v>
      </c>
      <c r="AK89" s="17">
        <f>IF(AN89=15,K89,0)</f>
        <v>0</v>
      </c>
      <c r="AL89" s="17">
        <f>IF(AN89=21,K89,0)</f>
        <v>0</v>
      </c>
      <c r="AN89" s="32">
        <v>21</v>
      </c>
      <c r="AO89" s="32">
        <f>H89*1</f>
        <v>0</v>
      </c>
      <c r="AP89" s="32">
        <f>H89*(1-1)</f>
        <v>0</v>
      </c>
      <c r="AQ89" s="29" t="s">
        <v>7</v>
      </c>
      <c r="AV89" s="32">
        <f>AW89+AX89</f>
        <v>0</v>
      </c>
      <c r="AW89" s="32">
        <f>G89*AO89</f>
        <v>0</v>
      </c>
      <c r="AX89" s="32">
        <f>G89*AP89</f>
        <v>0</v>
      </c>
      <c r="AY89" s="33" t="s">
        <v>710</v>
      </c>
      <c r="AZ89" s="33" t="s">
        <v>733</v>
      </c>
      <c r="BA89" s="28" t="s">
        <v>739</v>
      </c>
      <c r="BC89" s="32">
        <f>AW89+AX89</f>
        <v>0</v>
      </c>
      <c r="BD89" s="32">
        <f>H89/(100-BE89)*100</f>
        <v>0</v>
      </c>
      <c r="BE89" s="32">
        <v>0</v>
      </c>
      <c r="BF89" s="32">
        <f>87</f>
        <v>87</v>
      </c>
      <c r="BH89" s="17">
        <f>G89*AO89</f>
        <v>0</v>
      </c>
      <c r="BI89" s="17">
        <f>G89*AP89</f>
        <v>0</v>
      </c>
      <c r="BJ89" s="17">
        <f>G89*H89</f>
        <v>0</v>
      </c>
    </row>
    <row r="90" spans="1:62" x14ac:dyDescent="0.2">
      <c r="C90" s="58" t="s">
        <v>379</v>
      </c>
      <c r="D90" s="59"/>
      <c r="E90" s="59"/>
      <c r="G90" s="16">
        <v>1.5</v>
      </c>
    </row>
    <row r="91" spans="1:62" x14ac:dyDescent="0.2">
      <c r="C91" s="58" t="s">
        <v>380</v>
      </c>
      <c r="D91" s="59"/>
      <c r="E91" s="59"/>
      <c r="G91" s="16">
        <v>84</v>
      </c>
    </row>
    <row r="92" spans="1:62" x14ac:dyDescent="0.2">
      <c r="C92" s="58" t="s">
        <v>381</v>
      </c>
      <c r="D92" s="59"/>
      <c r="E92" s="59"/>
      <c r="G92" s="16">
        <v>22.5</v>
      </c>
    </row>
    <row r="93" spans="1:62" x14ac:dyDescent="0.2">
      <c r="C93" s="58" t="s">
        <v>382</v>
      </c>
      <c r="D93" s="59"/>
      <c r="E93" s="59"/>
      <c r="G93" s="16">
        <v>2.4</v>
      </c>
    </row>
    <row r="94" spans="1:62" x14ac:dyDescent="0.2">
      <c r="C94" s="58" t="s">
        <v>383</v>
      </c>
      <c r="D94" s="59"/>
      <c r="E94" s="59"/>
      <c r="G94" s="16">
        <v>1.5</v>
      </c>
    </row>
    <row r="95" spans="1:62" x14ac:dyDescent="0.2">
      <c r="C95" s="58" t="s">
        <v>384</v>
      </c>
      <c r="D95" s="59"/>
      <c r="E95" s="59"/>
      <c r="G95" s="16">
        <v>1.2</v>
      </c>
    </row>
    <row r="96" spans="1:62" x14ac:dyDescent="0.2">
      <c r="C96" s="58" t="s">
        <v>385</v>
      </c>
      <c r="D96" s="59"/>
      <c r="E96" s="59"/>
      <c r="G96" s="16">
        <v>1.6</v>
      </c>
    </row>
    <row r="97" spans="1:62" x14ac:dyDescent="0.2">
      <c r="A97" s="6" t="s">
        <v>33</v>
      </c>
      <c r="B97" s="6" t="s">
        <v>173</v>
      </c>
      <c r="C97" s="68" t="s">
        <v>386</v>
      </c>
      <c r="D97" s="69"/>
      <c r="E97" s="69"/>
      <c r="F97" s="6" t="s">
        <v>670</v>
      </c>
      <c r="G97" s="17">
        <v>110.4</v>
      </c>
      <c r="H97" s="17">
        <v>0</v>
      </c>
      <c r="I97" s="17">
        <f>G97*AO97</f>
        <v>0</v>
      </c>
      <c r="J97" s="17">
        <f>G97*AP97</f>
        <v>0</v>
      </c>
      <c r="K97" s="17">
        <f>G97*H97</f>
        <v>0</v>
      </c>
      <c r="L97" s="29" t="s">
        <v>690</v>
      </c>
      <c r="Z97" s="32">
        <f>IF(AQ97="5",BJ97,0)</f>
        <v>0</v>
      </c>
      <c r="AB97" s="32">
        <f>IF(AQ97="1",BH97,0)</f>
        <v>0</v>
      </c>
      <c r="AC97" s="32">
        <f>IF(AQ97="1",BI97,0)</f>
        <v>0</v>
      </c>
      <c r="AD97" s="32">
        <f>IF(AQ97="7",BH97,0)</f>
        <v>0</v>
      </c>
      <c r="AE97" s="32">
        <f>IF(AQ97="7",BI97,0)</f>
        <v>0</v>
      </c>
      <c r="AF97" s="32">
        <f>IF(AQ97="2",BH97,0)</f>
        <v>0</v>
      </c>
      <c r="AG97" s="32">
        <f>IF(AQ97="2",BI97,0)</f>
        <v>0</v>
      </c>
      <c r="AH97" s="32">
        <f>IF(AQ97="0",BJ97,0)</f>
        <v>0</v>
      </c>
      <c r="AI97" s="28"/>
      <c r="AJ97" s="17">
        <f>IF(AN97=0,K97,0)</f>
        <v>0</v>
      </c>
      <c r="AK97" s="17">
        <f>IF(AN97=15,K97,0)</f>
        <v>0</v>
      </c>
      <c r="AL97" s="17">
        <f>IF(AN97=21,K97,0)</f>
        <v>0</v>
      </c>
      <c r="AN97" s="32">
        <v>21</v>
      </c>
      <c r="AO97" s="32">
        <f>H97*1</f>
        <v>0</v>
      </c>
      <c r="AP97" s="32">
        <f>H97*(1-1)</f>
        <v>0</v>
      </c>
      <c r="AQ97" s="29" t="s">
        <v>7</v>
      </c>
      <c r="AV97" s="32">
        <f>AW97+AX97</f>
        <v>0</v>
      </c>
      <c r="AW97" s="32">
        <f>G97*AO97</f>
        <v>0</v>
      </c>
      <c r="AX97" s="32">
        <f>G97*AP97</f>
        <v>0</v>
      </c>
      <c r="AY97" s="33" t="s">
        <v>710</v>
      </c>
      <c r="AZ97" s="33" t="s">
        <v>733</v>
      </c>
      <c r="BA97" s="28" t="s">
        <v>739</v>
      </c>
      <c r="BC97" s="32">
        <f>AW97+AX97</f>
        <v>0</v>
      </c>
      <c r="BD97" s="32">
        <f>H97/(100-BE97)*100</f>
        <v>0</v>
      </c>
      <c r="BE97" s="32">
        <v>0</v>
      </c>
      <c r="BF97" s="32">
        <f>95</f>
        <v>95</v>
      </c>
      <c r="BH97" s="17">
        <f>G97*AO97</f>
        <v>0</v>
      </c>
      <c r="BI97" s="17">
        <f>G97*AP97</f>
        <v>0</v>
      </c>
      <c r="BJ97" s="17">
        <f>G97*H97</f>
        <v>0</v>
      </c>
    </row>
    <row r="98" spans="1:62" x14ac:dyDescent="0.2">
      <c r="C98" s="58" t="s">
        <v>387</v>
      </c>
      <c r="D98" s="59"/>
      <c r="E98" s="59"/>
      <c r="G98" s="16">
        <v>110.4</v>
      </c>
    </row>
    <row r="99" spans="1:62" x14ac:dyDescent="0.2">
      <c r="A99" s="4" t="s">
        <v>34</v>
      </c>
      <c r="B99" s="4" t="s">
        <v>174</v>
      </c>
      <c r="C99" s="60" t="s">
        <v>388</v>
      </c>
      <c r="D99" s="61"/>
      <c r="E99" s="61"/>
      <c r="F99" s="4" t="s">
        <v>670</v>
      </c>
      <c r="G99" s="15">
        <v>272.70999999999998</v>
      </c>
      <c r="H99" s="15">
        <v>0</v>
      </c>
      <c r="I99" s="15">
        <f>G99*AO99</f>
        <v>0</v>
      </c>
      <c r="J99" s="15">
        <f>G99*AP99</f>
        <v>0</v>
      </c>
      <c r="K99" s="15">
        <f>G99*H99</f>
        <v>0</v>
      </c>
      <c r="L99" s="27" t="s">
        <v>690</v>
      </c>
      <c r="Z99" s="32">
        <f>IF(AQ99="5",BJ99,0)</f>
        <v>0</v>
      </c>
      <c r="AB99" s="32">
        <f>IF(AQ99="1",BH99,0)</f>
        <v>0</v>
      </c>
      <c r="AC99" s="32">
        <f>IF(AQ99="1",BI99,0)</f>
        <v>0</v>
      </c>
      <c r="AD99" s="32">
        <f>IF(AQ99="7",BH99,0)</f>
        <v>0</v>
      </c>
      <c r="AE99" s="32">
        <f>IF(AQ99="7",BI99,0)</f>
        <v>0</v>
      </c>
      <c r="AF99" s="32">
        <f>IF(AQ99="2",BH99,0)</f>
        <v>0</v>
      </c>
      <c r="AG99" s="32">
        <f>IF(AQ99="2",BI99,0)</f>
        <v>0</v>
      </c>
      <c r="AH99" s="32">
        <f>IF(AQ99="0",BJ99,0)</f>
        <v>0</v>
      </c>
      <c r="AI99" s="28"/>
      <c r="AJ99" s="15">
        <f>IF(AN99=0,K99,0)</f>
        <v>0</v>
      </c>
      <c r="AK99" s="15">
        <f>IF(AN99=15,K99,0)</f>
        <v>0</v>
      </c>
      <c r="AL99" s="15">
        <f>IF(AN99=21,K99,0)</f>
        <v>0</v>
      </c>
      <c r="AN99" s="32">
        <v>21</v>
      </c>
      <c r="AO99" s="32">
        <f>H99*0</f>
        <v>0</v>
      </c>
      <c r="AP99" s="32">
        <f>H99*(1-0)</f>
        <v>0</v>
      </c>
      <c r="AQ99" s="27" t="s">
        <v>7</v>
      </c>
      <c r="AV99" s="32">
        <f>AW99+AX99</f>
        <v>0</v>
      </c>
      <c r="AW99" s="32">
        <f>G99*AO99</f>
        <v>0</v>
      </c>
      <c r="AX99" s="32">
        <f>G99*AP99</f>
        <v>0</v>
      </c>
      <c r="AY99" s="33" t="s">
        <v>710</v>
      </c>
      <c r="AZ99" s="33" t="s">
        <v>733</v>
      </c>
      <c r="BA99" s="28" t="s">
        <v>739</v>
      </c>
      <c r="BC99" s="32">
        <f>AW99+AX99</f>
        <v>0</v>
      </c>
      <c r="BD99" s="32">
        <f>H99/(100-BE99)*100</f>
        <v>0</v>
      </c>
      <c r="BE99" s="32">
        <v>0</v>
      </c>
      <c r="BF99" s="32">
        <f>97</f>
        <v>97</v>
      </c>
      <c r="BH99" s="15">
        <f>G99*AO99</f>
        <v>0</v>
      </c>
      <c r="BI99" s="15">
        <f>G99*AP99</f>
        <v>0</v>
      </c>
      <c r="BJ99" s="15">
        <f>G99*H99</f>
        <v>0</v>
      </c>
    </row>
    <row r="100" spans="1:62" x14ac:dyDescent="0.2">
      <c r="C100" s="58" t="s">
        <v>389</v>
      </c>
      <c r="D100" s="59"/>
      <c r="E100" s="59"/>
      <c r="G100" s="16">
        <v>272.70999999999998</v>
      </c>
    </row>
    <row r="101" spans="1:62" x14ac:dyDescent="0.2">
      <c r="A101" s="6" t="s">
        <v>35</v>
      </c>
      <c r="B101" s="6" t="s">
        <v>175</v>
      </c>
      <c r="C101" s="68" t="s">
        <v>390</v>
      </c>
      <c r="D101" s="69"/>
      <c r="E101" s="69"/>
      <c r="F101" s="6" t="s">
        <v>670</v>
      </c>
      <c r="G101" s="17">
        <v>272.70999999999998</v>
      </c>
      <c r="H101" s="17">
        <v>0</v>
      </c>
      <c r="I101" s="17">
        <f>G101*AO101</f>
        <v>0</v>
      </c>
      <c r="J101" s="17">
        <f>G101*AP101</f>
        <v>0</v>
      </c>
      <c r="K101" s="17">
        <f>G101*H101</f>
        <v>0</v>
      </c>
      <c r="L101" s="29" t="s">
        <v>690</v>
      </c>
      <c r="Z101" s="32">
        <f>IF(AQ101="5",BJ101,0)</f>
        <v>0</v>
      </c>
      <c r="AB101" s="32">
        <f>IF(AQ101="1",BH101,0)</f>
        <v>0</v>
      </c>
      <c r="AC101" s="32">
        <f>IF(AQ101="1",BI101,0)</f>
        <v>0</v>
      </c>
      <c r="AD101" s="32">
        <f>IF(AQ101="7",BH101,0)</f>
        <v>0</v>
      </c>
      <c r="AE101" s="32">
        <f>IF(AQ101="7",BI101,0)</f>
        <v>0</v>
      </c>
      <c r="AF101" s="32">
        <f>IF(AQ101="2",BH101,0)</f>
        <v>0</v>
      </c>
      <c r="AG101" s="32">
        <f>IF(AQ101="2",BI101,0)</f>
        <v>0</v>
      </c>
      <c r="AH101" s="32">
        <f>IF(AQ101="0",BJ101,0)</f>
        <v>0</v>
      </c>
      <c r="AI101" s="28"/>
      <c r="AJ101" s="17">
        <f>IF(AN101=0,K101,0)</f>
        <v>0</v>
      </c>
      <c r="AK101" s="17">
        <f>IF(AN101=15,K101,0)</f>
        <v>0</v>
      </c>
      <c r="AL101" s="17">
        <f>IF(AN101=21,K101,0)</f>
        <v>0</v>
      </c>
      <c r="AN101" s="32">
        <v>21</v>
      </c>
      <c r="AO101" s="32">
        <f>H101*1</f>
        <v>0</v>
      </c>
      <c r="AP101" s="32">
        <f>H101*(1-1)</f>
        <v>0</v>
      </c>
      <c r="AQ101" s="29" t="s">
        <v>7</v>
      </c>
      <c r="AV101" s="32">
        <f>AW101+AX101</f>
        <v>0</v>
      </c>
      <c r="AW101" s="32">
        <f>G101*AO101</f>
        <v>0</v>
      </c>
      <c r="AX101" s="32">
        <f>G101*AP101</f>
        <v>0</v>
      </c>
      <c r="AY101" s="33" t="s">
        <v>710</v>
      </c>
      <c r="AZ101" s="33" t="s">
        <v>733</v>
      </c>
      <c r="BA101" s="28" t="s">
        <v>739</v>
      </c>
      <c r="BC101" s="32">
        <f>AW101+AX101</f>
        <v>0</v>
      </c>
      <c r="BD101" s="32">
        <f>H101/(100-BE101)*100</f>
        <v>0</v>
      </c>
      <c r="BE101" s="32">
        <v>0</v>
      </c>
      <c r="BF101" s="32">
        <f>99</f>
        <v>99</v>
      </c>
      <c r="BH101" s="17">
        <f>G101*AO101</f>
        <v>0</v>
      </c>
      <c r="BI101" s="17">
        <f>G101*AP101</f>
        <v>0</v>
      </c>
      <c r="BJ101" s="17">
        <f>G101*H101</f>
        <v>0</v>
      </c>
    </row>
    <row r="102" spans="1:62" x14ac:dyDescent="0.2">
      <c r="C102" s="58" t="s">
        <v>391</v>
      </c>
      <c r="D102" s="59"/>
      <c r="E102" s="59"/>
      <c r="G102" s="16">
        <v>12</v>
      </c>
    </row>
    <row r="103" spans="1:62" x14ac:dyDescent="0.2">
      <c r="C103" s="58" t="s">
        <v>392</v>
      </c>
      <c r="D103" s="59"/>
      <c r="E103" s="59"/>
      <c r="G103" s="16">
        <v>168</v>
      </c>
    </row>
    <row r="104" spans="1:62" x14ac:dyDescent="0.2">
      <c r="C104" s="58" t="s">
        <v>393</v>
      </c>
      <c r="D104" s="59"/>
      <c r="E104" s="59"/>
      <c r="G104" s="16">
        <v>72</v>
      </c>
    </row>
    <row r="105" spans="1:62" x14ac:dyDescent="0.2">
      <c r="C105" s="58" t="s">
        <v>394</v>
      </c>
      <c r="D105" s="59"/>
      <c r="E105" s="59"/>
      <c r="G105" s="16">
        <v>4.2</v>
      </c>
    </row>
    <row r="106" spans="1:62" x14ac:dyDescent="0.2">
      <c r="C106" s="58" t="s">
        <v>395</v>
      </c>
      <c r="D106" s="59"/>
      <c r="E106" s="59"/>
      <c r="G106" s="16">
        <v>4.2</v>
      </c>
    </row>
    <row r="107" spans="1:62" x14ac:dyDescent="0.2">
      <c r="C107" s="58" t="s">
        <v>396</v>
      </c>
      <c r="D107" s="59"/>
      <c r="E107" s="59"/>
      <c r="G107" s="16">
        <v>5.81</v>
      </c>
    </row>
    <row r="108" spans="1:62" x14ac:dyDescent="0.2">
      <c r="C108" s="58" t="s">
        <v>397</v>
      </c>
      <c r="D108" s="59"/>
      <c r="E108" s="59"/>
      <c r="G108" s="16">
        <v>6.5</v>
      </c>
    </row>
    <row r="109" spans="1:62" x14ac:dyDescent="0.2">
      <c r="A109" s="4" t="s">
        <v>36</v>
      </c>
      <c r="B109" s="4" t="s">
        <v>176</v>
      </c>
      <c r="C109" s="60" t="s">
        <v>398</v>
      </c>
      <c r="D109" s="61"/>
      <c r="E109" s="61"/>
      <c r="F109" s="4" t="s">
        <v>670</v>
      </c>
      <c r="G109" s="15">
        <v>387.41</v>
      </c>
      <c r="H109" s="15">
        <v>0</v>
      </c>
      <c r="I109" s="15">
        <f>G109*AO109</f>
        <v>0</v>
      </c>
      <c r="J109" s="15">
        <f>G109*AP109</f>
        <v>0</v>
      </c>
      <c r="K109" s="15">
        <f>G109*H109</f>
        <v>0</v>
      </c>
      <c r="L109" s="27" t="s">
        <v>690</v>
      </c>
      <c r="Z109" s="32">
        <f>IF(AQ109="5",BJ109,0)</f>
        <v>0</v>
      </c>
      <c r="AB109" s="32">
        <f>IF(AQ109="1",BH109,0)</f>
        <v>0</v>
      </c>
      <c r="AC109" s="32">
        <f>IF(AQ109="1",BI109,0)</f>
        <v>0</v>
      </c>
      <c r="AD109" s="32">
        <f>IF(AQ109="7",BH109,0)</f>
        <v>0</v>
      </c>
      <c r="AE109" s="32">
        <f>IF(AQ109="7",BI109,0)</f>
        <v>0</v>
      </c>
      <c r="AF109" s="32">
        <f>IF(AQ109="2",BH109,0)</f>
        <v>0</v>
      </c>
      <c r="AG109" s="32">
        <f>IF(AQ109="2",BI109,0)</f>
        <v>0</v>
      </c>
      <c r="AH109" s="32">
        <f>IF(AQ109="0",BJ109,0)</f>
        <v>0</v>
      </c>
      <c r="AI109" s="28"/>
      <c r="AJ109" s="15">
        <f>IF(AN109=0,K109,0)</f>
        <v>0</v>
      </c>
      <c r="AK109" s="15">
        <f>IF(AN109=15,K109,0)</f>
        <v>0</v>
      </c>
      <c r="AL109" s="15">
        <f>IF(AN109=21,K109,0)</f>
        <v>0</v>
      </c>
      <c r="AN109" s="32">
        <v>21</v>
      </c>
      <c r="AO109" s="32">
        <f>H109*0.423800404873945</f>
        <v>0</v>
      </c>
      <c r="AP109" s="32">
        <f>H109*(1-0.423800404873945)</f>
        <v>0</v>
      </c>
      <c r="AQ109" s="27" t="s">
        <v>7</v>
      </c>
      <c r="AV109" s="32">
        <f>AW109+AX109</f>
        <v>0</v>
      </c>
      <c r="AW109" s="32">
        <f>G109*AO109</f>
        <v>0</v>
      </c>
      <c r="AX109" s="32">
        <f>G109*AP109</f>
        <v>0</v>
      </c>
      <c r="AY109" s="33" t="s">
        <v>710</v>
      </c>
      <c r="AZ109" s="33" t="s">
        <v>733</v>
      </c>
      <c r="BA109" s="28" t="s">
        <v>739</v>
      </c>
      <c r="BC109" s="32">
        <f>AW109+AX109</f>
        <v>0</v>
      </c>
      <c r="BD109" s="32">
        <f>H109/(100-BE109)*100</f>
        <v>0</v>
      </c>
      <c r="BE109" s="32">
        <v>0</v>
      </c>
      <c r="BF109" s="32">
        <f>107</f>
        <v>107</v>
      </c>
      <c r="BH109" s="15">
        <f>G109*AO109</f>
        <v>0</v>
      </c>
      <c r="BI109" s="15">
        <f>G109*AP109</f>
        <v>0</v>
      </c>
      <c r="BJ109" s="15">
        <f>G109*H109</f>
        <v>0</v>
      </c>
    </row>
    <row r="110" spans="1:62" x14ac:dyDescent="0.2">
      <c r="C110" s="58" t="s">
        <v>399</v>
      </c>
      <c r="D110" s="59"/>
      <c r="E110" s="59"/>
      <c r="G110" s="16">
        <v>114.7</v>
      </c>
    </row>
    <row r="111" spans="1:62" x14ac:dyDescent="0.2">
      <c r="C111" s="58" t="s">
        <v>400</v>
      </c>
      <c r="D111" s="59"/>
      <c r="E111" s="59"/>
      <c r="G111" s="16">
        <v>272.70999999999998</v>
      </c>
    </row>
    <row r="112" spans="1:62" x14ac:dyDescent="0.2">
      <c r="A112" s="4" t="s">
        <v>37</v>
      </c>
      <c r="B112" s="4" t="s">
        <v>177</v>
      </c>
      <c r="C112" s="60" t="s">
        <v>401</v>
      </c>
      <c r="D112" s="61"/>
      <c r="E112" s="61"/>
      <c r="F112" s="4" t="s">
        <v>667</v>
      </c>
      <c r="G112" s="15">
        <v>772.83299999999997</v>
      </c>
      <c r="H112" s="15">
        <v>0</v>
      </c>
      <c r="I112" s="15">
        <f>G112*AO112</f>
        <v>0</v>
      </c>
      <c r="J112" s="15">
        <f>G112*AP112</f>
        <v>0</v>
      </c>
      <c r="K112" s="15">
        <f>G112*H112</f>
        <v>0</v>
      </c>
      <c r="L112" s="27" t="s">
        <v>690</v>
      </c>
      <c r="Z112" s="32">
        <f>IF(AQ112="5",BJ112,0)</f>
        <v>0</v>
      </c>
      <c r="AB112" s="32">
        <f>IF(AQ112="1",BH112,0)</f>
        <v>0</v>
      </c>
      <c r="AC112" s="32">
        <f>IF(AQ112="1",BI112,0)</f>
        <v>0</v>
      </c>
      <c r="AD112" s="32">
        <f>IF(AQ112="7",BH112,0)</f>
        <v>0</v>
      </c>
      <c r="AE112" s="32">
        <f>IF(AQ112="7",BI112,0)</f>
        <v>0</v>
      </c>
      <c r="AF112" s="32">
        <f>IF(AQ112="2",BH112,0)</f>
        <v>0</v>
      </c>
      <c r="AG112" s="32">
        <f>IF(AQ112="2",BI112,0)</f>
        <v>0</v>
      </c>
      <c r="AH112" s="32">
        <f>IF(AQ112="0",BJ112,0)</f>
        <v>0</v>
      </c>
      <c r="AI112" s="28"/>
      <c r="AJ112" s="15">
        <f>IF(AN112=0,K112,0)</f>
        <v>0</v>
      </c>
      <c r="AK112" s="15">
        <f>IF(AN112=15,K112,0)</f>
        <v>0</v>
      </c>
      <c r="AL112" s="15">
        <f>IF(AN112=21,K112,0)</f>
        <v>0</v>
      </c>
      <c r="AN112" s="32">
        <v>21</v>
      </c>
      <c r="AO112" s="32">
        <f>H112*0.0678321641494773</f>
        <v>0</v>
      </c>
      <c r="AP112" s="32">
        <f>H112*(1-0.0678321641494773)</f>
        <v>0</v>
      </c>
      <c r="AQ112" s="27" t="s">
        <v>7</v>
      </c>
      <c r="AV112" s="32">
        <f>AW112+AX112</f>
        <v>0</v>
      </c>
      <c r="AW112" s="32">
        <f>G112*AO112</f>
        <v>0</v>
      </c>
      <c r="AX112" s="32">
        <f>G112*AP112</f>
        <v>0</v>
      </c>
      <c r="AY112" s="33" t="s">
        <v>710</v>
      </c>
      <c r="AZ112" s="33" t="s">
        <v>733</v>
      </c>
      <c r="BA112" s="28" t="s">
        <v>739</v>
      </c>
      <c r="BC112" s="32">
        <f>AW112+AX112</f>
        <v>0</v>
      </c>
      <c r="BD112" s="32">
        <f>H112/(100-BE112)*100</f>
        <v>0</v>
      </c>
      <c r="BE112" s="32">
        <v>0</v>
      </c>
      <c r="BF112" s="32">
        <f>110</f>
        <v>110</v>
      </c>
      <c r="BH112" s="15">
        <f>G112*AO112</f>
        <v>0</v>
      </c>
      <c r="BI112" s="15">
        <f>G112*AP112</f>
        <v>0</v>
      </c>
      <c r="BJ112" s="15">
        <f>G112*H112</f>
        <v>0</v>
      </c>
    </row>
    <row r="113" spans="1:62" x14ac:dyDescent="0.2">
      <c r="C113" s="58" t="s">
        <v>402</v>
      </c>
      <c r="D113" s="59"/>
      <c r="E113" s="59"/>
      <c r="G113" s="16">
        <v>0</v>
      </c>
    </row>
    <row r="114" spans="1:62" x14ac:dyDescent="0.2">
      <c r="C114" s="58" t="s">
        <v>403</v>
      </c>
      <c r="D114" s="59"/>
      <c r="E114" s="59"/>
      <c r="G114" s="16">
        <v>117</v>
      </c>
    </row>
    <row r="115" spans="1:62" x14ac:dyDescent="0.2">
      <c r="C115" s="58" t="s">
        <v>404</v>
      </c>
      <c r="D115" s="59"/>
      <c r="E115" s="59"/>
      <c r="G115" s="16">
        <v>87.873000000000005</v>
      </c>
    </row>
    <row r="116" spans="1:62" x14ac:dyDescent="0.2">
      <c r="C116" s="58" t="s">
        <v>405</v>
      </c>
      <c r="D116" s="59"/>
      <c r="E116" s="59"/>
      <c r="G116" s="16">
        <v>567.96</v>
      </c>
    </row>
    <row r="117" spans="1:62" x14ac:dyDescent="0.2">
      <c r="A117" s="4" t="s">
        <v>38</v>
      </c>
      <c r="B117" s="4" t="s">
        <v>178</v>
      </c>
      <c r="C117" s="60" t="s">
        <v>406</v>
      </c>
      <c r="D117" s="61"/>
      <c r="E117" s="61"/>
      <c r="F117" s="4" t="s">
        <v>670</v>
      </c>
      <c r="G117" s="15">
        <v>178.8</v>
      </c>
      <c r="H117" s="15">
        <v>0</v>
      </c>
      <c r="I117" s="15">
        <f>G117*AO117</f>
        <v>0</v>
      </c>
      <c r="J117" s="15">
        <f>G117*AP117</f>
        <v>0</v>
      </c>
      <c r="K117" s="15">
        <f>G117*H117</f>
        <v>0</v>
      </c>
      <c r="L117" s="27" t="s">
        <v>690</v>
      </c>
      <c r="Z117" s="32">
        <f>IF(AQ117="5",BJ117,0)</f>
        <v>0</v>
      </c>
      <c r="AB117" s="32">
        <f>IF(AQ117="1",BH117,0)</f>
        <v>0</v>
      </c>
      <c r="AC117" s="32">
        <f>IF(AQ117="1",BI117,0)</f>
        <v>0</v>
      </c>
      <c r="AD117" s="32">
        <f>IF(AQ117="7",BH117,0)</f>
        <v>0</v>
      </c>
      <c r="AE117" s="32">
        <f>IF(AQ117="7",BI117,0)</f>
        <v>0</v>
      </c>
      <c r="AF117" s="32">
        <f>IF(AQ117="2",BH117,0)</f>
        <v>0</v>
      </c>
      <c r="AG117" s="32">
        <f>IF(AQ117="2",BI117,0)</f>
        <v>0</v>
      </c>
      <c r="AH117" s="32">
        <f>IF(AQ117="0",BJ117,0)</f>
        <v>0</v>
      </c>
      <c r="AI117" s="28"/>
      <c r="AJ117" s="15">
        <f>IF(AN117=0,K117,0)</f>
        <v>0</v>
      </c>
      <c r="AK117" s="15">
        <f>IF(AN117=15,K117,0)</f>
        <v>0</v>
      </c>
      <c r="AL117" s="15">
        <f>IF(AN117=21,K117,0)</f>
        <v>0</v>
      </c>
      <c r="AN117" s="32">
        <v>21</v>
      </c>
      <c r="AO117" s="32">
        <f>H117*0.1</f>
        <v>0</v>
      </c>
      <c r="AP117" s="32">
        <f>H117*(1-0.1)</f>
        <v>0</v>
      </c>
      <c r="AQ117" s="27" t="s">
        <v>7</v>
      </c>
      <c r="AV117" s="32">
        <f>AW117+AX117</f>
        <v>0</v>
      </c>
      <c r="AW117" s="32">
        <f>G117*AO117</f>
        <v>0</v>
      </c>
      <c r="AX117" s="32">
        <f>G117*AP117</f>
        <v>0</v>
      </c>
      <c r="AY117" s="33" t="s">
        <v>710</v>
      </c>
      <c r="AZ117" s="33" t="s">
        <v>733</v>
      </c>
      <c r="BA117" s="28" t="s">
        <v>739</v>
      </c>
      <c r="BC117" s="32">
        <f>AW117+AX117</f>
        <v>0</v>
      </c>
      <c r="BD117" s="32">
        <f>H117/(100-BE117)*100</f>
        <v>0</v>
      </c>
      <c r="BE117" s="32">
        <v>0</v>
      </c>
      <c r="BF117" s="32">
        <f>115</f>
        <v>115</v>
      </c>
      <c r="BH117" s="15">
        <f>G117*AO117</f>
        <v>0</v>
      </c>
      <c r="BI117" s="15">
        <f>G117*AP117</f>
        <v>0</v>
      </c>
      <c r="BJ117" s="15">
        <f>G117*H117</f>
        <v>0</v>
      </c>
    </row>
    <row r="118" spans="1:62" x14ac:dyDescent="0.2">
      <c r="C118" s="58" t="s">
        <v>407</v>
      </c>
      <c r="D118" s="59"/>
      <c r="E118" s="59"/>
      <c r="G118" s="16">
        <v>178.8</v>
      </c>
    </row>
    <row r="119" spans="1:62" x14ac:dyDescent="0.2">
      <c r="A119" s="4" t="s">
        <v>39</v>
      </c>
      <c r="B119" s="4" t="s">
        <v>179</v>
      </c>
      <c r="C119" s="60" t="s">
        <v>408</v>
      </c>
      <c r="D119" s="61"/>
      <c r="E119" s="61"/>
      <c r="F119" s="4" t="s">
        <v>667</v>
      </c>
      <c r="G119" s="15">
        <v>772.83299999999997</v>
      </c>
      <c r="H119" s="15">
        <v>0</v>
      </c>
      <c r="I119" s="15">
        <f>G119*AO119</f>
        <v>0</v>
      </c>
      <c r="J119" s="15">
        <f>G119*AP119</f>
        <v>0</v>
      </c>
      <c r="K119" s="15">
        <f>G119*H119</f>
        <v>0</v>
      </c>
      <c r="L119" s="27" t="s">
        <v>690</v>
      </c>
      <c r="Z119" s="32">
        <f>IF(AQ119="5",BJ119,0)</f>
        <v>0</v>
      </c>
      <c r="AB119" s="32">
        <f>IF(AQ119="1",BH119,0)</f>
        <v>0</v>
      </c>
      <c r="AC119" s="32">
        <f>IF(AQ119="1",BI119,0)</f>
        <v>0</v>
      </c>
      <c r="AD119" s="32">
        <f>IF(AQ119="7",BH119,0)</f>
        <v>0</v>
      </c>
      <c r="AE119" s="32">
        <f>IF(AQ119="7",BI119,0)</f>
        <v>0</v>
      </c>
      <c r="AF119" s="32">
        <f>IF(AQ119="2",BH119,0)</f>
        <v>0</v>
      </c>
      <c r="AG119" s="32">
        <f>IF(AQ119="2",BI119,0)</f>
        <v>0</v>
      </c>
      <c r="AH119" s="32">
        <f>IF(AQ119="0",BJ119,0)</f>
        <v>0</v>
      </c>
      <c r="AI119" s="28"/>
      <c r="AJ119" s="15">
        <f>IF(AN119=0,K119,0)</f>
        <v>0</v>
      </c>
      <c r="AK119" s="15">
        <f>IF(AN119=15,K119,0)</f>
        <v>0</v>
      </c>
      <c r="AL119" s="15">
        <f>IF(AN119=21,K119,0)</f>
        <v>0</v>
      </c>
      <c r="AN119" s="32">
        <v>21</v>
      </c>
      <c r="AO119" s="32">
        <f>H119*0.508076988831651</f>
        <v>0</v>
      </c>
      <c r="AP119" s="32">
        <f>H119*(1-0.508076988831651)</f>
        <v>0</v>
      </c>
      <c r="AQ119" s="27" t="s">
        <v>7</v>
      </c>
      <c r="AV119" s="32">
        <f>AW119+AX119</f>
        <v>0</v>
      </c>
      <c r="AW119" s="32">
        <f>G119*AO119</f>
        <v>0</v>
      </c>
      <c r="AX119" s="32">
        <f>G119*AP119</f>
        <v>0</v>
      </c>
      <c r="AY119" s="33" t="s">
        <v>710</v>
      </c>
      <c r="AZ119" s="33" t="s">
        <v>733</v>
      </c>
      <c r="BA119" s="28" t="s">
        <v>739</v>
      </c>
      <c r="BC119" s="32">
        <f>AW119+AX119</f>
        <v>0</v>
      </c>
      <c r="BD119" s="32">
        <f>H119/(100-BE119)*100</f>
        <v>0</v>
      </c>
      <c r="BE119" s="32">
        <v>0</v>
      </c>
      <c r="BF119" s="32">
        <f>117</f>
        <v>117</v>
      </c>
      <c r="BH119" s="15">
        <f>G119*AO119</f>
        <v>0</v>
      </c>
      <c r="BI119" s="15">
        <f>G119*AP119</f>
        <v>0</v>
      </c>
      <c r="BJ119" s="15">
        <f>G119*H119</f>
        <v>0</v>
      </c>
    </row>
    <row r="120" spans="1:62" x14ac:dyDescent="0.2">
      <c r="C120" s="58" t="s">
        <v>409</v>
      </c>
      <c r="D120" s="59"/>
      <c r="E120" s="59"/>
      <c r="G120" s="16">
        <v>772.83299999999997</v>
      </c>
    </row>
    <row r="121" spans="1:62" x14ac:dyDescent="0.2">
      <c r="A121" s="4" t="s">
        <v>40</v>
      </c>
      <c r="B121" s="4" t="s">
        <v>180</v>
      </c>
      <c r="C121" s="60" t="s">
        <v>410</v>
      </c>
      <c r="D121" s="61"/>
      <c r="E121" s="61"/>
      <c r="F121" s="4" t="s">
        <v>670</v>
      </c>
      <c r="G121" s="15">
        <v>117</v>
      </c>
      <c r="H121" s="15">
        <v>0</v>
      </c>
      <c r="I121" s="15">
        <f>G121*AO121</f>
        <v>0</v>
      </c>
      <c r="J121" s="15">
        <f>G121*AP121</f>
        <v>0</v>
      </c>
      <c r="K121" s="15">
        <f>G121*H121</f>
        <v>0</v>
      </c>
      <c r="L121" s="27" t="s">
        <v>690</v>
      </c>
      <c r="Z121" s="32">
        <f>IF(AQ121="5",BJ121,0)</f>
        <v>0</v>
      </c>
      <c r="AB121" s="32">
        <f>IF(AQ121="1",BH121,0)</f>
        <v>0</v>
      </c>
      <c r="AC121" s="32">
        <f>IF(AQ121="1",BI121,0)</f>
        <v>0</v>
      </c>
      <c r="AD121" s="32">
        <f>IF(AQ121="7",BH121,0)</f>
        <v>0</v>
      </c>
      <c r="AE121" s="32">
        <f>IF(AQ121="7",BI121,0)</f>
        <v>0</v>
      </c>
      <c r="AF121" s="32">
        <f>IF(AQ121="2",BH121,0)</f>
        <v>0</v>
      </c>
      <c r="AG121" s="32">
        <f>IF(AQ121="2",BI121,0)</f>
        <v>0</v>
      </c>
      <c r="AH121" s="32">
        <f>IF(AQ121="0",BJ121,0)</f>
        <v>0</v>
      </c>
      <c r="AI121" s="28"/>
      <c r="AJ121" s="15">
        <f>IF(AN121=0,K121,0)</f>
        <v>0</v>
      </c>
      <c r="AK121" s="15">
        <f>IF(AN121=15,K121,0)</f>
        <v>0</v>
      </c>
      <c r="AL121" s="15">
        <f>IF(AN121=21,K121,0)</f>
        <v>0</v>
      </c>
      <c r="AN121" s="32">
        <v>21</v>
      </c>
      <c r="AO121" s="32">
        <f>H121*0.554363212932097</f>
        <v>0</v>
      </c>
      <c r="AP121" s="32">
        <f>H121*(1-0.554363212932097)</f>
        <v>0</v>
      </c>
      <c r="AQ121" s="27" t="s">
        <v>7</v>
      </c>
      <c r="AV121" s="32">
        <f>AW121+AX121</f>
        <v>0</v>
      </c>
      <c r="AW121" s="32">
        <f>G121*AO121</f>
        <v>0</v>
      </c>
      <c r="AX121" s="32">
        <f>G121*AP121</f>
        <v>0</v>
      </c>
      <c r="AY121" s="33" t="s">
        <v>710</v>
      </c>
      <c r="AZ121" s="33" t="s">
        <v>733</v>
      </c>
      <c r="BA121" s="28" t="s">
        <v>739</v>
      </c>
      <c r="BC121" s="32">
        <f>AW121+AX121</f>
        <v>0</v>
      </c>
      <c r="BD121" s="32">
        <f>H121/(100-BE121)*100</f>
        <v>0</v>
      </c>
      <c r="BE121" s="32">
        <v>0</v>
      </c>
      <c r="BF121" s="32">
        <f>119</f>
        <v>119</v>
      </c>
      <c r="BH121" s="15">
        <f>G121*AO121</f>
        <v>0</v>
      </c>
      <c r="BI121" s="15">
        <f>G121*AP121</f>
        <v>0</v>
      </c>
      <c r="BJ121" s="15">
        <f>G121*H121</f>
        <v>0</v>
      </c>
    </row>
    <row r="122" spans="1:62" x14ac:dyDescent="0.2">
      <c r="C122" s="58" t="s">
        <v>411</v>
      </c>
      <c r="D122" s="59"/>
      <c r="E122" s="59"/>
      <c r="G122" s="16">
        <v>117</v>
      </c>
    </row>
    <row r="123" spans="1:62" x14ac:dyDescent="0.2">
      <c r="A123" s="5"/>
      <c r="B123" s="13" t="s">
        <v>70</v>
      </c>
      <c r="C123" s="66" t="s">
        <v>412</v>
      </c>
      <c r="D123" s="67"/>
      <c r="E123" s="67"/>
      <c r="F123" s="5" t="s">
        <v>6</v>
      </c>
      <c r="G123" s="5" t="s">
        <v>6</v>
      </c>
      <c r="H123" s="5" t="s">
        <v>6</v>
      </c>
      <c r="I123" s="35">
        <f>SUM(I124:I124)</f>
        <v>0</v>
      </c>
      <c r="J123" s="35">
        <f>SUM(J124:J124)</f>
        <v>0</v>
      </c>
      <c r="K123" s="35">
        <f>SUM(K124:K124)</f>
        <v>0</v>
      </c>
      <c r="L123" s="28"/>
      <c r="AI123" s="28"/>
      <c r="AS123" s="35">
        <f>SUM(AJ124:AJ124)</f>
        <v>0</v>
      </c>
      <c r="AT123" s="35">
        <f>SUM(AK124:AK124)</f>
        <v>0</v>
      </c>
      <c r="AU123" s="35">
        <f>SUM(AL124:AL124)</f>
        <v>0</v>
      </c>
    </row>
    <row r="124" spans="1:62" x14ac:dyDescent="0.2">
      <c r="A124" s="4" t="s">
        <v>41</v>
      </c>
      <c r="B124" s="4" t="s">
        <v>181</v>
      </c>
      <c r="C124" s="60" t="s">
        <v>413</v>
      </c>
      <c r="D124" s="61"/>
      <c r="E124" s="61"/>
      <c r="F124" s="4" t="s">
        <v>670</v>
      </c>
      <c r="G124" s="15">
        <v>115.92</v>
      </c>
      <c r="H124" s="15">
        <v>0</v>
      </c>
      <c r="I124" s="15">
        <f>G124*AO124</f>
        <v>0</v>
      </c>
      <c r="J124" s="15">
        <f>G124*AP124</f>
        <v>0</v>
      </c>
      <c r="K124" s="15">
        <f>G124*H124</f>
        <v>0</v>
      </c>
      <c r="L124" s="27" t="s">
        <v>690</v>
      </c>
      <c r="Z124" s="32">
        <f>IF(AQ124="5",BJ124,0)</f>
        <v>0</v>
      </c>
      <c r="AB124" s="32">
        <f>IF(AQ124="1",BH124,0)</f>
        <v>0</v>
      </c>
      <c r="AC124" s="32">
        <f>IF(AQ124="1",BI124,0)</f>
        <v>0</v>
      </c>
      <c r="AD124" s="32">
        <f>IF(AQ124="7",BH124,0)</f>
        <v>0</v>
      </c>
      <c r="AE124" s="32">
        <f>IF(AQ124="7",BI124,0)</f>
        <v>0</v>
      </c>
      <c r="AF124" s="32">
        <f>IF(AQ124="2",BH124,0)</f>
        <v>0</v>
      </c>
      <c r="AG124" s="32">
        <f>IF(AQ124="2",BI124,0)</f>
        <v>0</v>
      </c>
      <c r="AH124" s="32">
        <f>IF(AQ124="0",BJ124,0)</f>
        <v>0</v>
      </c>
      <c r="AI124" s="28"/>
      <c r="AJ124" s="15">
        <f>IF(AN124=0,K124,0)</f>
        <v>0</v>
      </c>
      <c r="AK124" s="15">
        <f>IF(AN124=15,K124,0)</f>
        <v>0</v>
      </c>
      <c r="AL124" s="15">
        <f>IF(AN124=21,K124,0)</f>
        <v>0</v>
      </c>
      <c r="AN124" s="32">
        <v>21</v>
      </c>
      <c r="AO124" s="32">
        <f>H124*0.66309423347398</f>
        <v>0</v>
      </c>
      <c r="AP124" s="32">
        <f>H124*(1-0.66309423347398)</f>
        <v>0</v>
      </c>
      <c r="AQ124" s="27" t="s">
        <v>7</v>
      </c>
      <c r="AV124" s="32">
        <f>AW124+AX124</f>
        <v>0</v>
      </c>
      <c r="AW124" s="32">
        <f>G124*AO124</f>
        <v>0</v>
      </c>
      <c r="AX124" s="32">
        <f>G124*AP124</f>
        <v>0</v>
      </c>
      <c r="AY124" s="33" t="s">
        <v>711</v>
      </c>
      <c r="AZ124" s="33" t="s">
        <v>733</v>
      </c>
      <c r="BA124" s="28" t="s">
        <v>739</v>
      </c>
      <c r="BC124" s="32">
        <f>AW124+AX124</f>
        <v>0</v>
      </c>
      <c r="BD124" s="32">
        <f>H124/(100-BE124)*100</f>
        <v>0</v>
      </c>
      <c r="BE124" s="32">
        <v>0</v>
      </c>
      <c r="BF124" s="32">
        <f>122</f>
        <v>122</v>
      </c>
      <c r="BH124" s="15">
        <f>G124*AO124</f>
        <v>0</v>
      </c>
      <c r="BI124" s="15">
        <f>G124*AP124</f>
        <v>0</v>
      </c>
      <c r="BJ124" s="15">
        <f>G124*H124</f>
        <v>0</v>
      </c>
    </row>
    <row r="125" spans="1:62" x14ac:dyDescent="0.2">
      <c r="C125" s="58" t="s">
        <v>414</v>
      </c>
      <c r="D125" s="59"/>
      <c r="E125" s="59"/>
      <c r="G125" s="16">
        <v>110.4</v>
      </c>
    </row>
    <row r="126" spans="1:62" x14ac:dyDescent="0.2">
      <c r="C126" s="58" t="s">
        <v>415</v>
      </c>
      <c r="D126" s="59"/>
      <c r="E126" s="59"/>
      <c r="G126" s="16">
        <v>5.52</v>
      </c>
    </row>
    <row r="127" spans="1:62" x14ac:dyDescent="0.2">
      <c r="A127" s="5"/>
      <c r="B127" s="13" t="s">
        <v>182</v>
      </c>
      <c r="C127" s="66" t="s">
        <v>416</v>
      </c>
      <c r="D127" s="67"/>
      <c r="E127" s="67"/>
      <c r="F127" s="5" t="s">
        <v>6</v>
      </c>
      <c r="G127" s="5" t="s">
        <v>6</v>
      </c>
      <c r="H127" s="5" t="s">
        <v>6</v>
      </c>
      <c r="I127" s="35">
        <f>SUM(I128:I159)</f>
        <v>0</v>
      </c>
      <c r="J127" s="35">
        <f>SUM(J128:J159)</f>
        <v>0</v>
      </c>
      <c r="K127" s="35">
        <f>SUM(K128:K159)</f>
        <v>0</v>
      </c>
      <c r="L127" s="28"/>
      <c r="AI127" s="28"/>
      <c r="AS127" s="35">
        <f>SUM(AJ128:AJ159)</f>
        <v>0</v>
      </c>
      <c r="AT127" s="35">
        <f>SUM(AK128:AK159)</f>
        <v>0</v>
      </c>
      <c r="AU127" s="35">
        <f>SUM(AL128:AL159)</f>
        <v>0</v>
      </c>
    </row>
    <row r="128" spans="1:62" x14ac:dyDescent="0.2">
      <c r="A128" s="4" t="s">
        <v>42</v>
      </c>
      <c r="B128" s="4" t="s">
        <v>183</v>
      </c>
      <c r="C128" s="60" t="s">
        <v>417</v>
      </c>
      <c r="D128" s="61"/>
      <c r="E128" s="61"/>
      <c r="F128" s="4" t="s">
        <v>667</v>
      </c>
      <c r="G128" s="15">
        <v>1115</v>
      </c>
      <c r="H128" s="15">
        <v>0</v>
      </c>
      <c r="I128" s="15">
        <f>G128*AO128</f>
        <v>0</v>
      </c>
      <c r="J128" s="15">
        <f>G128*AP128</f>
        <v>0</v>
      </c>
      <c r="K128" s="15">
        <f>G128*H128</f>
        <v>0</v>
      </c>
      <c r="L128" s="27" t="s">
        <v>690</v>
      </c>
      <c r="Z128" s="32">
        <f>IF(AQ128="5",BJ128,0)</f>
        <v>0</v>
      </c>
      <c r="AB128" s="32">
        <f>IF(AQ128="1",BH128,0)</f>
        <v>0</v>
      </c>
      <c r="AC128" s="32">
        <f>IF(AQ128="1",BI128,0)</f>
        <v>0</v>
      </c>
      <c r="AD128" s="32">
        <f>IF(AQ128="7",BH128,0)</f>
        <v>0</v>
      </c>
      <c r="AE128" s="32">
        <f>IF(AQ128="7",BI128,0)</f>
        <v>0</v>
      </c>
      <c r="AF128" s="32">
        <f>IF(AQ128="2",BH128,0)</f>
        <v>0</v>
      </c>
      <c r="AG128" s="32">
        <f>IF(AQ128="2",BI128,0)</f>
        <v>0</v>
      </c>
      <c r="AH128" s="32">
        <f>IF(AQ128="0",BJ128,0)</f>
        <v>0</v>
      </c>
      <c r="AI128" s="28"/>
      <c r="AJ128" s="15">
        <f>IF(AN128=0,K128,0)</f>
        <v>0</v>
      </c>
      <c r="AK128" s="15">
        <f>IF(AN128=15,K128,0)</f>
        <v>0</v>
      </c>
      <c r="AL128" s="15">
        <f>IF(AN128=21,K128,0)</f>
        <v>0</v>
      </c>
      <c r="AN128" s="32">
        <v>21</v>
      </c>
      <c r="AO128" s="32">
        <f>H128*0</f>
        <v>0</v>
      </c>
      <c r="AP128" s="32">
        <f>H128*(1-0)</f>
        <v>0</v>
      </c>
      <c r="AQ128" s="27" t="s">
        <v>13</v>
      </c>
      <c r="AV128" s="32">
        <f>AW128+AX128</f>
        <v>0</v>
      </c>
      <c r="AW128" s="32">
        <f>G128*AO128</f>
        <v>0</v>
      </c>
      <c r="AX128" s="32">
        <f>G128*AP128</f>
        <v>0</v>
      </c>
      <c r="AY128" s="33" t="s">
        <v>712</v>
      </c>
      <c r="AZ128" s="33" t="s">
        <v>734</v>
      </c>
      <c r="BA128" s="28" t="s">
        <v>739</v>
      </c>
      <c r="BC128" s="32">
        <f>AW128+AX128</f>
        <v>0</v>
      </c>
      <c r="BD128" s="32">
        <f>H128/(100-BE128)*100</f>
        <v>0</v>
      </c>
      <c r="BE128" s="32">
        <v>0</v>
      </c>
      <c r="BF128" s="32">
        <f>126</f>
        <v>126</v>
      </c>
      <c r="BH128" s="15">
        <f>G128*AO128</f>
        <v>0</v>
      </c>
      <c r="BI128" s="15">
        <f>G128*AP128</f>
        <v>0</v>
      </c>
      <c r="BJ128" s="15">
        <f>G128*H128</f>
        <v>0</v>
      </c>
    </row>
    <row r="129" spans="1:62" x14ac:dyDescent="0.2">
      <c r="C129" s="58" t="s">
        <v>418</v>
      </c>
      <c r="D129" s="59"/>
      <c r="E129" s="59"/>
      <c r="G129" s="16">
        <v>1053</v>
      </c>
    </row>
    <row r="130" spans="1:62" x14ac:dyDescent="0.2">
      <c r="C130" s="58" t="s">
        <v>419</v>
      </c>
      <c r="D130" s="59"/>
      <c r="E130" s="59"/>
      <c r="G130" s="16">
        <v>62</v>
      </c>
    </row>
    <row r="131" spans="1:62" x14ac:dyDescent="0.2">
      <c r="A131" s="4" t="s">
        <v>43</v>
      </c>
      <c r="B131" s="4" t="s">
        <v>184</v>
      </c>
      <c r="C131" s="60" t="s">
        <v>420</v>
      </c>
      <c r="D131" s="61"/>
      <c r="E131" s="61"/>
      <c r="F131" s="4" t="s">
        <v>667</v>
      </c>
      <c r="G131" s="15">
        <v>1115</v>
      </c>
      <c r="H131" s="15">
        <v>0</v>
      </c>
      <c r="I131" s="15">
        <f>G131*AO131</f>
        <v>0</v>
      </c>
      <c r="J131" s="15">
        <f>G131*AP131</f>
        <v>0</v>
      </c>
      <c r="K131" s="15">
        <f>G131*H131</f>
        <v>0</v>
      </c>
      <c r="L131" s="27" t="s">
        <v>690</v>
      </c>
      <c r="Z131" s="32">
        <f>IF(AQ131="5",BJ131,0)</f>
        <v>0</v>
      </c>
      <c r="AB131" s="32">
        <f>IF(AQ131="1",BH131,0)</f>
        <v>0</v>
      </c>
      <c r="AC131" s="32">
        <f>IF(AQ131="1",BI131,0)</f>
        <v>0</v>
      </c>
      <c r="AD131" s="32">
        <f>IF(AQ131="7",BH131,0)</f>
        <v>0</v>
      </c>
      <c r="AE131" s="32">
        <f>IF(AQ131="7",BI131,0)</f>
        <v>0</v>
      </c>
      <c r="AF131" s="32">
        <f>IF(AQ131="2",BH131,0)</f>
        <v>0</v>
      </c>
      <c r="AG131" s="32">
        <f>IF(AQ131="2",BI131,0)</f>
        <v>0</v>
      </c>
      <c r="AH131" s="32">
        <f>IF(AQ131="0",BJ131,0)</f>
        <v>0</v>
      </c>
      <c r="AI131" s="28"/>
      <c r="AJ131" s="15">
        <f>IF(AN131=0,K131,0)</f>
        <v>0</v>
      </c>
      <c r="AK131" s="15">
        <f>IF(AN131=15,K131,0)</f>
        <v>0</v>
      </c>
      <c r="AL131" s="15">
        <f>IF(AN131=21,K131,0)</f>
        <v>0</v>
      </c>
      <c r="AN131" s="32">
        <v>21</v>
      </c>
      <c r="AO131" s="32">
        <f>H131*0</f>
        <v>0</v>
      </c>
      <c r="AP131" s="32">
        <f>H131*(1-0)</f>
        <v>0</v>
      </c>
      <c r="AQ131" s="27" t="s">
        <v>13</v>
      </c>
      <c r="AV131" s="32">
        <f>AW131+AX131</f>
        <v>0</v>
      </c>
      <c r="AW131" s="32">
        <f>G131*AO131</f>
        <v>0</v>
      </c>
      <c r="AX131" s="32">
        <f>G131*AP131</f>
        <v>0</v>
      </c>
      <c r="AY131" s="33" t="s">
        <v>712</v>
      </c>
      <c r="AZ131" s="33" t="s">
        <v>734</v>
      </c>
      <c r="BA131" s="28" t="s">
        <v>739</v>
      </c>
      <c r="BC131" s="32">
        <f>AW131+AX131</f>
        <v>0</v>
      </c>
      <c r="BD131" s="32">
        <f>H131/(100-BE131)*100</f>
        <v>0</v>
      </c>
      <c r="BE131" s="32">
        <v>0</v>
      </c>
      <c r="BF131" s="32">
        <f>129</f>
        <v>129</v>
      </c>
      <c r="BH131" s="15">
        <f>G131*AO131</f>
        <v>0</v>
      </c>
      <c r="BI131" s="15">
        <f>G131*AP131</f>
        <v>0</v>
      </c>
      <c r="BJ131" s="15">
        <f>G131*H131</f>
        <v>0</v>
      </c>
    </row>
    <row r="132" spans="1:62" x14ac:dyDescent="0.2">
      <c r="C132" s="58" t="s">
        <v>421</v>
      </c>
      <c r="D132" s="59"/>
      <c r="E132" s="59"/>
      <c r="G132" s="16">
        <v>1115</v>
      </c>
    </row>
    <row r="133" spans="1:62" x14ac:dyDescent="0.2">
      <c r="A133" s="4" t="s">
        <v>44</v>
      </c>
      <c r="B133" s="4" t="s">
        <v>185</v>
      </c>
      <c r="C133" s="60" t="s">
        <v>788</v>
      </c>
      <c r="D133" s="61"/>
      <c r="E133" s="61"/>
      <c r="F133" s="4" t="s">
        <v>670</v>
      </c>
      <c r="G133" s="15">
        <v>124</v>
      </c>
      <c r="H133" s="15">
        <v>0</v>
      </c>
      <c r="I133" s="15">
        <f>G133*AO133</f>
        <v>0</v>
      </c>
      <c r="J133" s="15">
        <f>G133*AP133</f>
        <v>0</v>
      </c>
      <c r="K133" s="15">
        <f>G133*H133</f>
        <v>0</v>
      </c>
      <c r="L133" s="27" t="s">
        <v>690</v>
      </c>
      <c r="Z133" s="32">
        <f>IF(AQ133="5",BJ133,0)</f>
        <v>0</v>
      </c>
      <c r="AB133" s="32">
        <f>IF(AQ133="1",BH133,0)</f>
        <v>0</v>
      </c>
      <c r="AC133" s="32">
        <f>IF(AQ133="1",BI133,0)</f>
        <v>0</v>
      </c>
      <c r="AD133" s="32">
        <f>IF(AQ133="7",BH133,0)</f>
        <v>0</v>
      </c>
      <c r="AE133" s="32">
        <f>IF(AQ133="7",BI133,0)</f>
        <v>0</v>
      </c>
      <c r="AF133" s="32">
        <f>IF(AQ133="2",BH133,0)</f>
        <v>0</v>
      </c>
      <c r="AG133" s="32">
        <f>IF(AQ133="2",BI133,0)</f>
        <v>0</v>
      </c>
      <c r="AH133" s="32">
        <f>IF(AQ133="0",BJ133,0)</f>
        <v>0</v>
      </c>
      <c r="AI133" s="28"/>
      <c r="AJ133" s="15">
        <f>IF(AN133=0,K133,0)</f>
        <v>0</v>
      </c>
      <c r="AK133" s="15">
        <f>IF(AN133=15,K133,0)</f>
        <v>0</v>
      </c>
      <c r="AL133" s="15">
        <f>IF(AN133=21,K133,0)</f>
        <v>0</v>
      </c>
      <c r="AN133" s="32">
        <v>21</v>
      </c>
      <c r="AO133" s="32">
        <f>H133*0.41157437567861</f>
        <v>0</v>
      </c>
      <c r="AP133" s="32">
        <f>H133*(1-0.41157437567861)</f>
        <v>0</v>
      </c>
      <c r="AQ133" s="27" t="s">
        <v>13</v>
      </c>
      <c r="AV133" s="32">
        <f>AW133+AX133</f>
        <v>0</v>
      </c>
      <c r="AW133" s="32">
        <f>G133*AO133</f>
        <v>0</v>
      </c>
      <c r="AX133" s="32">
        <f>G133*AP133</f>
        <v>0</v>
      </c>
      <c r="AY133" s="33" t="s">
        <v>712</v>
      </c>
      <c r="AZ133" s="33" t="s">
        <v>734</v>
      </c>
      <c r="BA133" s="28" t="s">
        <v>739</v>
      </c>
      <c r="BC133" s="32">
        <f>AW133+AX133</f>
        <v>0</v>
      </c>
      <c r="BD133" s="32">
        <f>H133/(100-BE133)*100</f>
        <v>0</v>
      </c>
      <c r="BE133" s="32">
        <v>0</v>
      </c>
      <c r="BF133" s="32">
        <f>131</f>
        <v>131</v>
      </c>
      <c r="BH133" s="15">
        <f>G133*AO133</f>
        <v>0</v>
      </c>
      <c r="BI133" s="15">
        <f>G133*AP133</f>
        <v>0</v>
      </c>
      <c r="BJ133" s="15">
        <f>G133*H133</f>
        <v>0</v>
      </c>
    </row>
    <row r="134" spans="1:62" x14ac:dyDescent="0.2">
      <c r="C134" s="58" t="s">
        <v>422</v>
      </c>
      <c r="D134" s="59"/>
      <c r="E134" s="59"/>
      <c r="G134" s="16">
        <v>124</v>
      </c>
    </row>
    <row r="135" spans="1:62" x14ac:dyDescent="0.2">
      <c r="A135" s="4" t="s">
        <v>45</v>
      </c>
      <c r="B135" s="4" t="s">
        <v>186</v>
      </c>
      <c r="C135" s="60" t="s">
        <v>789</v>
      </c>
      <c r="D135" s="61"/>
      <c r="E135" s="61"/>
      <c r="F135" s="4" t="s">
        <v>670</v>
      </c>
      <c r="G135" s="15">
        <v>124</v>
      </c>
      <c r="H135" s="15">
        <v>0</v>
      </c>
      <c r="I135" s="15">
        <f>G135*AO135</f>
        <v>0</v>
      </c>
      <c r="J135" s="15">
        <f>G135*AP135</f>
        <v>0</v>
      </c>
      <c r="K135" s="15">
        <f>G135*H135</f>
        <v>0</v>
      </c>
      <c r="L135" s="27" t="s">
        <v>690</v>
      </c>
      <c r="Z135" s="32">
        <f>IF(AQ135="5",BJ135,0)</f>
        <v>0</v>
      </c>
      <c r="AB135" s="32">
        <f>IF(AQ135="1",BH135,0)</f>
        <v>0</v>
      </c>
      <c r="AC135" s="32">
        <f>IF(AQ135="1",BI135,0)</f>
        <v>0</v>
      </c>
      <c r="AD135" s="32">
        <f>IF(AQ135="7",BH135,0)</f>
        <v>0</v>
      </c>
      <c r="AE135" s="32">
        <f>IF(AQ135="7",BI135,0)</f>
        <v>0</v>
      </c>
      <c r="AF135" s="32">
        <f>IF(AQ135="2",BH135,0)</f>
        <v>0</v>
      </c>
      <c r="AG135" s="32">
        <f>IF(AQ135="2",BI135,0)</f>
        <v>0</v>
      </c>
      <c r="AH135" s="32">
        <f>IF(AQ135="0",BJ135,0)</f>
        <v>0</v>
      </c>
      <c r="AI135" s="28"/>
      <c r="AJ135" s="15">
        <f>IF(AN135=0,K135,0)</f>
        <v>0</v>
      </c>
      <c r="AK135" s="15">
        <f>IF(AN135=15,K135,0)</f>
        <v>0</v>
      </c>
      <c r="AL135" s="15">
        <f>IF(AN135=21,K135,0)</f>
        <v>0</v>
      </c>
      <c r="AN135" s="32">
        <v>21</v>
      </c>
      <c r="AO135" s="32">
        <f>H135*0.353857142857143</f>
        <v>0</v>
      </c>
      <c r="AP135" s="32">
        <f>H135*(1-0.353857142857143)</f>
        <v>0</v>
      </c>
      <c r="AQ135" s="27" t="s">
        <v>13</v>
      </c>
      <c r="AV135" s="32">
        <f>AW135+AX135</f>
        <v>0</v>
      </c>
      <c r="AW135" s="32">
        <f>G135*AO135</f>
        <v>0</v>
      </c>
      <c r="AX135" s="32">
        <f>G135*AP135</f>
        <v>0</v>
      </c>
      <c r="AY135" s="33" t="s">
        <v>712</v>
      </c>
      <c r="AZ135" s="33" t="s">
        <v>734</v>
      </c>
      <c r="BA135" s="28" t="s">
        <v>739</v>
      </c>
      <c r="BC135" s="32">
        <f>AW135+AX135</f>
        <v>0</v>
      </c>
      <c r="BD135" s="32">
        <f>H135/(100-BE135)*100</f>
        <v>0</v>
      </c>
      <c r="BE135" s="32">
        <v>0</v>
      </c>
      <c r="BF135" s="32">
        <f>133</f>
        <v>133</v>
      </c>
      <c r="BH135" s="15">
        <f>G135*AO135</f>
        <v>0</v>
      </c>
      <c r="BI135" s="15">
        <f>G135*AP135</f>
        <v>0</v>
      </c>
      <c r="BJ135" s="15">
        <f>G135*H135</f>
        <v>0</v>
      </c>
    </row>
    <row r="136" spans="1:62" x14ac:dyDescent="0.2">
      <c r="C136" s="58" t="s">
        <v>422</v>
      </c>
      <c r="D136" s="59"/>
      <c r="E136" s="59"/>
      <c r="G136" s="16">
        <v>124</v>
      </c>
    </row>
    <row r="137" spans="1:62" x14ac:dyDescent="0.2">
      <c r="A137" s="4" t="s">
        <v>46</v>
      </c>
      <c r="B137" s="4" t="s">
        <v>187</v>
      </c>
      <c r="C137" s="60" t="s">
        <v>790</v>
      </c>
      <c r="D137" s="61"/>
      <c r="E137" s="61"/>
      <c r="F137" s="4" t="s">
        <v>670</v>
      </c>
      <c r="G137" s="15">
        <v>248</v>
      </c>
      <c r="H137" s="15">
        <v>0</v>
      </c>
      <c r="I137" s="15">
        <f>G137*AO137</f>
        <v>0</v>
      </c>
      <c r="J137" s="15">
        <f>G137*AP137</f>
        <v>0</v>
      </c>
      <c r="K137" s="15">
        <f>G137*H137</f>
        <v>0</v>
      </c>
      <c r="L137" s="27" t="s">
        <v>690</v>
      </c>
      <c r="Z137" s="32">
        <f>IF(AQ137="5",BJ137,0)</f>
        <v>0</v>
      </c>
      <c r="AB137" s="32">
        <f>IF(AQ137="1",BH137,0)</f>
        <v>0</v>
      </c>
      <c r="AC137" s="32">
        <f>IF(AQ137="1",BI137,0)</f>
        <v>0</v>
      </c>
      <c r="AD137" s="32">
        <f>IF(AQ137="7",BH137,0)</f>
        <v>0</v>
      </c>
      <c r="AE137" s="32">
        <f>IF(AQ137="7",BI137,0)</f>
        <v>0</v>
      </c>
      <c r="AF137" s="32">
        <f>IF(AQ137="2",BH137,0)</f>
        <v>0</v>
      </c>
      <c r="AG137" s="32">
        <f>IF(AQ137="2",BI137,0)</f>
        <v>0</v>
      </c>
      <c r="AH137" s="32">
        <f>IF(AQ137="0",BJ137,0)</f>
        <v>0</v>
      </c>
      <c r="AI137" s="28"/>
      <c r="AJ137" s="15">
        <f>IF(AN137=0,K137,0)</f>
        <v>0</v>
      </c>
      <c r="AK137" s="15">
        <f>IF(AN137=15,K137,0)</f>
        <v>0</v>
      </c>
      <c r="AL137" s="15">
        <f>IF(AN137=21,K137,0)</f>
        <v>0</v>
      </c>
      <c r="AN137" s="32">
        <v>21</v>
      </c>
      <c r="AO137" s="32">
        <f>H137*0.353857142857143</f>
        <v>0</v>
      </c>
      <c r="AP137" s="32">
        <f>H137*(1-0.353857142857143)</f>
        <v>0</v>
      </c>
      <c r="AQ137" s="27" t="s">
        <v>13</v>
      </c>
      <c r="AV137" s="32">
        <f>AW137+AX137</f>
        <v>0</v>
      </c>
      <c r="AW137" s="32">
        <f>G137*AO137</f>
        <v>0</v>
      </c>
      <c r="AX137" s="32">
        <f>G137*AP137</f>
        <v>0</v>
      </c>
      <c r="AY137" s="33" t="s">
        <v>712</v>
      </c>
      <c r="AZ137" s="33" t="s">
        <v>734</v>
      </c>
      <c r="BA137" s="28" t="s">
        <v>739</v>
      </c>
      <c r="BC137" s="32">
        <f>AW137+AX137</f>
        <v>0</v>
      </c>
      <c r="BD137" s="32">
        <f>H137/(100-BE137)*100</f>
        <v>0</v>
      </c>
      <c r="BE137" s="32">
        <v>0</v>
      </c>
      <c r="BF137" s="32">
        <f>135</f>
        <v>135</v>
      </c>
      <c r="BH137" s="15">
        <f>G137*AO137</f>
        <v>0</v>
      </c>
      <c r="BI137" s="15">
        <f>G137*AP137</f>
        <v>0</v>
      </c>
      <c r="BJ137" s="15">
        <f>G137*H137</f>
        <v>0</v>
      </c>
    </row>
    <row r="138" spans="1:62" x14ac:dyDescent="0.2">
      <c r="C138" s="58" t="s">
        <v>423</v>
      </c>
      <c r="D138" s="59"/>
      <c r="E138" s="59"/>
      <c r="G138" s="16">
        <v>248</v>
      </c>
    </row>
    <row r="139" spans="1:62" x14ac:dyDescent="0.2">
      <c r="A139" s="4" t="s">
        <v>47</v>
      </c>
      <c r="B139" s="4" t="s">
        <v>188</v>
      </c>
      <c r="C139" s="60" t="s">
        <v>424</v>
      </c>
      <c r="D139" s="61"/>
      <c r="E139" s="61"/>
      <c r="F139" s="4" t="s">
        <v>670</v>
      </c>
      <c r="G139" s="15">
        <v>124</v>
      </c>
      <c r="H139" s="15">
        <v>0</v>
      </c>
      <c r="I139" s="15">
        <f>G139*AO139</f>
        <v>0</v>
      </c>
      <c r="J139" s="15">
        <f>G139*AP139</f>
        <v>0</v>
      </c>
      <c r="K139" s="15">
        <f>G139*H139</f>
        <v>0</v>
      </c>
      <c r="L139" s="27" t="s">
        <v>690</v>
      </c>
      <c r="Z139" s="32">
        <f>IF(AQ139="5",BJ139,0)</f>
        <v>0</v>
      </c>
      <c r="AB139" s="32">
        <f>IF(AQ139="1",BH139,0)</f>
        <v>0</v>
      </c>
      <c r="AC139" s="32">
        <f>IF(AQ139="1",BI139,0)</f>
        <v>0</v>
      </c>
      <c r="AD139" s="32">
        <f>IF(AQ139="7",BH139,0)</f>
        <v>0</v>
      </c>
      <c r="AE139" s="32">
        <f>IF(AQ139="7",BI139,0)</f>
        <v>0</v>
      </c>
      <c r="AF139" s="32">
        <f>IF(AQ139="2",BH139,0)</f>
        <v>0</v>
      </c>
      <c r="AG139" s="32">
        <f>IF(AQ139="2",BI139,0)</f>
        <v>0</v>
      </c>
      <c r="AH139" s="32">
        <f>IF(AQ139="0",BJ139,0)</f>
        <v>0</v>
      </c>
      <c r="AI139" s="28"/>
      <c r="AJ139" s="15">
        <f>IF(AN139=0,K139,0)</f>
        <v>0</v>
      </c>
      <c r="AK139" s="15">
        <f>IF(AN139=15,K139,0)</f>
        <v>0</v>
      </c>
      <c r="AL139" s="15">
        <f>IF(AN139=21,K139,0)</f>
        <v>0</v>
      </c>
      <c r="AN139" s="32">
        <v>21</v>
      </c>
      <c r="AO139" s="32">
        <f>H139*0.421980676328502</f>
        <v>0</v>
      </c>
      <c r="AP139" s="32">
        <f>H139*(1-0.421980676328502)</f>
        <v>0</v>
      </c>
      <c r="AQ139" s="27" t="s">
        <v>13</v>
      </c>
      <c r="AV139" s="32">
        <f>AW139+AX139</f>
        <v>0</v>
      </c>
      <c r="AW139" s="32">
        <f>G139*AO139</f>
        <v>0</v>
      </c>
      <c r="AX139" s="32">
        <f>G139*AP139</f>
        <v>0</v>
      </c>
      <c r="AY139" s="33" t="s">
        <v>712</v>
      </c>
      <c r="AZ139" s="33" t="s">
        <v>734</v>
      </c>
      <c r="BA139" s="28" t="s">
        <v>739</v>
      </c>
      <c r="BC139" s="32">
        <f>AW139+AX139</f>
        <v>0</v>
      </c>
      <c r="BD139" s="32">
        <f>H139/(100-BE139)*100</f>
        <v>0</v>
      </c>
      <c r="BE139" s="32">
        <v>0</v>
      </c>
      <c r="BF139" s="32">
        <f>137</f>
        <v>137</v>
      </c>
      <c r="BH139" s="15">
        <f>G139*AO139</f>
        <v>0</v>
      </c>
      <c r="BI139" s="15">
        <f>G139*AP139</f>
        <v>0</v>
      </c>
      <c r="BJ139" s="15">
        <f>G139*H139</f>
        <v>0</v>
      </c>
    </row>
    <row r="140" spans="1:62" x14ac:dyDescent="0.2">
      <c r="C140" s="58" t="s">
        <v>422</v>
      </c>
      <c r="D140" s="59"/>
      <c r="E140" s="59"/>
      <c r="G140" s="16">
        <v>124</v>
      </c>
    </row>
    <row r="141" spans="1:62" x14ac:dyDescent="0.2">
      <c r="A141" s="6" t="s">
        <v>48</v>
      </c>
      <c r="B141" s="6" t="s">
        <v>189</v>
      </c>
      <c r="C141" s="68" t="s">
        <v>425</v>
      </c>
      <c r="D141" s="69"/>
      <c r="E141" s="69"/>
      <c r="F141" s="6" t="s">
        <v>670</v>
      </c>
      <c r="G141" s="17">
        <v>124</v>
      </c>
      <c r="H141" s="17">
        <v>0</v>
      </c>
      <c r="I141" s="17">
        <f>G141*AO141</f>
        <v>0</v>
      </c>
      <c r="J141" s="17">
        <f>G141*AP141</f>
        <v>0</v>
      </c>
      <c r="K141" s="17">
        <f>G141*H141</f>
        <v>0</v>
      </c>
      <c r="L141" s="29" t="s">
        <v>690</v>
      </c>
      <c r="Z141" s="32">
        <f>IF(AQ141="5",BJ141,0)</f>
        <v>0</v>
      </c>
      <c r="AB141" s="32">
        <f>IF(AQ141="1",BH141,0)</f>
        <v>0</v>
      </c>
      <c r="AC141" s="32">
        <f>IF(AQ141="1",BI141,0)</f>
        <v>0</v>
      </c>
      <c r="AD141" s="32">
        <f>IF(AQ141="7",BH141,0)</f>
        <v>0</v>
      </c>
      <c r="AE141" s="32">
        <f>IF(AQ141="7",BI141,0)</f>
        <v>0</v>
      </c>
      <c r="AF141" s="32">
        <f>IF(AQ141="2",BH141,0)</f>
        <v>0</v>
      </c>
      <c r="AG141" s="32">
        <f>IF(AQ141="2",BI141,0)</f>
        <v>0</v>
      </c>
      <c r="AH141" s="32">
        <f>IF(AQ141="0",BJ141,0)</f>
        <v>0</v>
      </c>
      <c r="AI141" s="28"/>
      <c r="AJ141" s="17">
        <f>IF(AN141=0,K141,0)</f>
        <v>0</v>
      </c>
      <c r="AK141" s="17">
        <f>IF(AN141=15,K141,0)</f>
        <v>0</v>
      </c>
      <c r="AL141" s="17">
        <f>IF(AN141=21,K141,0)</f>
        <v>0</v>
      </c>
      <c r="AN141" s="32">
        <v>21</v>
      </c>
      <c r="AO141" s="32">
        <f>H141*1</f>
        <v>0</v>
      </c>
      <c r="AP141" s="32">
        <f>H141*(1-1)</f>
        <v>0</v>
      </c>
      <c r="AQ141" s="29" t="s">
        <v>13</v>
      </c>
      <c r="AV141" s="32">
        <f>AW141+AX141</f>
        <v>0</v>
      </c>
      <c r="AW141" s="32">
        <f>G141*AO141</f>
        <v>0</v>
      </c>
      <c r="AX141" s="32">
        <f>G141*AP141</f>
        <v>0</v>
      </c>
      <c r="AY141" s="33" t="s">
        <v>712</v>
      </c>
      <c r="AZ141" s="33" t="s">
        <v>734</v>
      </c>
      <c r="BA141" s="28" t="s">
        <v>739</v>
      </c>
      <c r="BC141" s="32">
        <f>AW141+AX141</f>
        <v>0</v>
      </c>
      <c r="BD141" s="32">
        <f>H141/(100-BE141)*100</f>
        <v>0</v>
      </c>
      <c r="BE141" s="32">
        <v>0</v>
      </c>
      <c r="BF141" s="32">
        <f>139</f>
        <v>139</v>
      </c>
      <c r="BH141" s="17">
        <f>G141*AO141</f>
        <v>0</v>
      </c>
      <c r="BI141" s="17">
        <f>G141*AP141</f>
        <v>0</v>
      </c>
      <c r="BJ141" s="17">
        <f>G141*H141</f>
        <v>0</v>
      </c>
    </row>
    <row r="142" spans="1:62" x14ac:dyDescent="0.2">
      <c r="C142" s="58" t="s">
        <v>426</v>
      </c>
      <c r="D142" s="59"/>
      <c r="E142" s="59"/>
      <c r="G142" s="16">
        <v>124</v>
      </c>
    </row>
    <row r="143" spans="1:62" x14ac:dyDescent="0.2">
      <c r="A143" s="4" t="s">
        <v>49</v>
      </c>
      <c r="B143" s="4" t="s">
        <v>190</v>
      </c>
      <c r="C143" s="60" t="s">
        <v>427</v>
      </c>
      <c r="D143" s="61"/>
      <c r="E143" s="61"/>
      <c r="F143" s="4" t="s">
        <v>671</v>
      </c>
      <c r="G143" s="15">
        <v>9</v>
      </c>
      <c r="H143" s="15">
        <v>0</v>
      </c>
      <c r="I143" s="15">
        <f>G143*AO143</f>
        <v>0</v>
      </c>
      <c r="J143" s="15">
        <f>G143*AP143</f>
        <v>0</v>
      </c>
      <c r="K143" s="15">
        <f>G143*H143</f>
        <v>0</v>
      </c>
      <c r="L143" s="27" t="s">
        <v>690</v>
      </c>
      <c r="Z143" s="32">
        <f>IF(AQ143="5",BJ143,0)</f>
        <v>0</v>
      </c>
      <c r="AB143" s="32">
        <f>IF(AQ143="1",BH143,0)</f>
        <v>0</v>
      </c>
      <c r="AC143" s="32">
        <f>IF(AQ143="1",BI143,0)</f>
        <v>0</v>
      </c>
      <c r="AD143" s="32">
        <f>IF(AQ143="7",BH143,0)</f>
        <v>0</v>
      </c>
      <c r="AE143" s="32">
        <f>IF(AQ143="7",BI143,0)</f>
        <v>0</v>
      </c>
      <c r="AF143" s="32">
        <f>IF(AQ143="2",BH143,0)</f>
        <v>0</v>
      </c>
      <c r="AG143" s="32">
        <f>IF(AQ143="2",BI143,0)</f>
        <v>0</v>
      </c>
      <c r="AH143" s="32">
        <f>IF(AQ143="0",BJ143,0)</f>
        <v>0</v>
      </c>
      <c r="AI143" s="28"/>
      <c r="AJ143" s="15">
        <f>IF(AN143=0,K143,0)</f>
        <v>0</v>
      </c>
      <c r="AK143" s="15">
        <f>IF(AN143=15,K143,0)</f>
        <v>0</v>
      </c>
      <c r="AL143" s="15">
        <f>IF(AN143=21,K143,0)</f>
        <v>0</v>
      </c>
      <c r="AN143" s="32">
        <v>21</v>
      </c>
      <c r="AO143" s="32">
        <f>H143*0.805323743819259</f>
        <v>0</v>
      </c>
      <c r="AP143" s="32">
        <f>H143*(1-0.805323743819259)</f>
        <v>0</v>
      </c>
      <c r="AQ143" s="27" t="s">
        <v>13</v>
      </c>
      <c r="AV143" s="32">
        <f>AW143+AX143</f>
        <v>0</v>
      </c>
      <c r="AW143" s="32">
        <f>G143*AO143</f>
        <v>0</v>
      </c>
      <c r="AX143" s="32">
        <f>G143*AP143</f>
        <v>0</v>
      </c>
      <c r="AY143" s="33" t="s">
        <v>712</v>
      </c>
      <c r="AZ143" s="33" t="s">
        <v>734</v>
      </c>
      <c r="BA143" s="28" t="s">
        <v>739</v>
      </c>
      <c r="BC143" s="32">
        <f>AW143+AX143</f>
        <v>0</v>
      </c>
      <c r="BD143" s="32">
        <f>H143/(100-BE143)*100</f>
        <v>0</v>
      </c>
      <c r="BE143" s="32">
        <v>0</v>
      </c>
      <c r="BF143" s="32">
        <f>141</f>
        <v>141</v>
      </c>
      <c r="BH143" s="15">
        <f>G143*AO143</f>
        <v>0</v>
      </c>
      <c r="BI143" s="15">
        <f>G143*AP143</f>
        <v>0</v>
      </c>
      <c r="BJ143" s="15">
        <f>G143*H143</f>
        <v>0</v>
      </c>
    </row>
    <row r="144" spans="1:62" x14ac:dyDescent="0.2">
      <c r="C144" s="58" t="s">
        <v>428</v>
      </c>
      <c r="D144" s="59"/>
      <c r="E144" s="59"/>
      <c r="G144" s="16">
        <v>9</v>
      </c>
    </row>
    <row r="145" spans="1:62" x14ac:dyDescent="0.2">
      <c r="A145" s="4" t="s">
        <v>50</v>
      </c>
      <c r="B145" s="4" t="s">
        <v>191</v>
      </c>
      <c r="C145" s="60" t="s">
        <v>429</v>
      </c>
      <c r="D145" s="61"/>
      <c r="E145" s="61"/>
      <c r="F145" s="4" t="s">
        <v>671</v>
      </c>
      <c r="G145" s="15">
        <v>4</v>
      </c>
      <c r="H145" s="15">
        <v>0</v>
      </c>
      <c r="I145" s="15">
        <f>G145*AO145</f>
        <v>0</v>
      </c>
      <c r="J145" s="15">
        <f>G145*AP145</f>
        <v>0</v>
      </c>
      <c r="K145" s="15">
        <f>G145*H145</f>
        <v>0</v>
      </c>
      <c r="L145" s="27"/>
      <c r="Z145" s="32">
        <f>IF(AQ145="5",BJ145,0)</f>
        <v>0</v>
      </c>
      <c r="AB145" s="32">
        <f>IF(AQ145="1",BH145,0)</f>
        <v>0</v>
      </c>
      <c r="AC145" s="32">
        <f>IF(AQ145="1",BI145,0)</f>
        <v>0</v>
      </c>
      <c r="AD145" s="32">
        <f>IF(AQ145="7",BH145,0)</f>
        <v>0</v>
      </c>
      <c r="AE145" s="32">
        <f>IF(AQ145="7",BI145,0)</f>
        <v>0</v>
      </c>
      <c r="AF145" s="32">
        <f>IF(AQ145="2",BH145,0)</f>
        <v>0</v>
      </c>
      <c r="AG145" s="32">
        <f>IF(AQ145="2",BI145,0)</f>
        <v>0</v>
      </c>
      <c r="AH145" s="32">
        <f>IF(AQ145="0",BJ145,0)</f>
        <v>0</v>
      </c>
      <c r="AI145" s="28"/>
      <c r="AJ145" s="15">
        <f>IF(AN145=0,K145,0)</f>
        <v>0</v>
      </c>
      <c r="AK145" s="15">
        <f>IF(AN145=15,K145,0)</f>
        <v>0</v>
      </c>
      <c r="AL145" s="15">
        <f>IF(AN145=21,K145,0)</f>
        <v>0</v>
      </c>
      <c r="AN145" s="32">
        <v>21</v>
      </c>
      <c r="AO145" s="32">
        <f>H145*0.714285714285714</f>
        <v>0</v>
      </c>
      <c r="AP145" s="32">
        <f>H145*(1-0.714285714285714)</f>
        <v>0</v>
      </c>
      <c r="AQ145" s="27" t="s">
        <v>13</v>
      </c>
      <c r="AV145" s="32">
        <f>AW145+AX145</f>
        <v>0</v>
      </c>
      <c r="AW145" s="32">
        <f>G145*AO145</f>
        <v>0</v>
      </c>
      <c r="AX145" s="32">
        <f>G145*AP145</f>
        <v>0</v>
      </c>
      <c r="AY145" s="33" t="s">
        <v>712</v>
      </c>
      <c r="AZ145" s="33" t="s">
        <v>734</v>
      </c>
      <c r="BA145" s="28" t="s">
        <v>739</v>
      </c>
      <c r="BC145" s="32">
        <f>AW145+AX145</f>
        <v>0</v>
      </c>
      <c r="BD145" s="32">
        <f>H145/(100-BE145)*100</f>
        <v>0</v>
      </c>
      <c r="BE145" s="32">
        <v>0</v>
      </c>
      <c r="BF145" s="32">
        <f>143</f>
        <v>143</v>
      </c>
      <c r="BH145" s="15">
        <f>G145*AO145</f>
        <v>0</v>
      </c>
      <c r="BI145" s="15">
        <f>G145*AP145</f>
        <v>0</v>
      </c>
      <c r="BJ145" s="15">
        <f>G145*H145</f>
        <v>0</v>
      </c>
    </row>
    <row r="146" spans="1:62" x14ac:dyDescent="0.2">
      <c r="C146" s="58" t="s">
        <v>430</v>
      </c>
      <c r="D146" s="59"/>
      <c r="E146" s="59"/>
      <c r="G146" s="16">
        <v>4</v>
      </c>
    </row>
    <row r="147" spans="1:62" x14ac:dyDescent="0.2">
      <c r="A147" s="4" t="s">
        <v>51</v>
      </c>
      <c r="B147" s="4" t="s">
        <v>192</v>
      </c>
      <c r="C147" s="60" t="s">
        <v>431</v>
      </c>
      <c r="D147" s="61"/>
      <c r="E147" s="61"/>
      <c r="F147" s="4" t="s">
        <v>667</v>
      </c>
      <c r="G147" s="15">
        <v>1115</v>
      </c>
      <c r="H147" s="15">
        <v>0</v>
      </c>
      <c r="I147" s="15">
        <f>G147*AO147</f>
        <v>0</v>
      </c>
      <c r="J147" s="15">
        <f>G147*AP147</f>
        <v>0</v>
      </c>
      <c r="K147" s="15">
        <f>G147*H147</f>
        <v>0</v>
      </c>
      <c r="L147" s="27" t="s">
        <v>690</v>
      </c>
      <c r="Z147" s="32">
        <f>IF(AQ147="5",BJ147,0)</f>
        <v>0</v>
      </c>
      <c r="AB147" s="32">
        <f>IF(AQ147="1",BH147,0)</f>
        <v>0</v>
      </c>
      <c r="AC147" s="32">
        <f>IF(AQ147="1",BI147,0)</f>
        <v>0</v>
      </c>
      <c r="AD147" s="32">
        <f>IF(AQ147="7",BH147,0)</f>
        <v>0</v>
      </c>
      <c r="AE147" s="32">
        <f>IF(AQ147="7",BI147,0)</f>
        <v>0</v>
      </c>
      <c r="AF147" s="32">
        <f>IF(AQ147="2",BH147,0)</f>
        <v>0</v>
      </c>
      <c r="AG147" s="32">
        <f>IF(AQ147="2",BI147,0)</f>
        <v>0</v>
      </c>
      <c r="AH147" s="32">
        <f>IF(AQ147="0",BJ147,0)</f>
        <v>0</v>
      </c>
      <c r="AI147" s="28"/>
      <c r="AJ147" s="15">
        <f>IF(AN147=0,K147,0)</f>
        <v>0</v>
      </c>
      <c r="AK147" s="15">
        <f>IF(AN147=15,K147,0)</f>
        <v>0</v>
      </c>
      <c r="AL147" s="15">
        <f>IF(AN147=21,K147,0)</f>
        <v>0</v>
      </c>
      <c r="AN147" s="32">
        <v>21</v>
      </c>
      <c r="AO147" s="32">
        <f>H147*0</f>
        <v>0</v>
      </c>
      <c r="AP147" s="32">
        <f>H147*(1-0)</f>
        <v>0</v>
      </c>
      <c r="AQ147" s="27" t="s">
        <v>13</v>
      </c>
      <c r="AV147" s="32">
        <f>AW147+AX147</f>
        <v>0</v>
      </c>
      <c r="AW147" s="32">
        <f>G147*AO147</f>
        <v>0</v>
      </c>
      <c r="AX147" s="32">
        <f>G147*AP147</f>
        <v>0</v>
      </c>
      <c r="AY147" s="33" t="s">
        <v>712</v>
      </c>
      <c r="AZ147" s="33" t="s">
        <v>734</v>
      </c>
      <c r="BA147" s="28" t="s">
        <v>739</v>
      </c>
      <c r="BC147" s="32">
        <f>AW147+AX147</f>
        <v>0</v>
      </c>
      <c r="BD147" s="32">
        <f>H147/(100-BE147)*100</f>
        <v>0</v>
      </c>
      <c r="BE147" s="32">
        <v>0</v>
      </c>
      <c r="BF147" s="32">
        <f>145</f>
        <v>145</v>
      </c>
      <c r="BH147" s="15">
        <f>G147*AO147</f>
        <v>0</v>
      </c>
      <c r="BI147" s="15">
        <f>G147*AP147</f>
        <v>0</v>
      </c>
      <c r="BJ147" s="15">
        <f>G147*H147</f>
        <v>0</v>
      </c>
    </row>
    <row r="148" spans="1:62" x14ac:dyDescent="0.2">
      <c r="C148" s="58" t="s">
        <v>432</v>
      </c>
      <c r="D148" s="59"/>
      <c r="E148" s="59"/>
      <c r="G148" s="16">
        <v>1115</v>
      </c>
    </row>
    <row r="149" spans="1:62" x14ac:dyDescent="0.2">
      <c r="A149" s="6" t="s">
        <v>52</v>
      </c>
      <c r="B149" s="6" t="s">
        <v>193</v>
      </c>
      <c r="C149" s="68" t="s">
        <v>794</v>
      </c>
      <c r="D149" s="69"/>
      <c r="E149" s="69"/>
      <c r="F149" s="6" t="s">
        <v>667</v>
      </c>
      <c r="G149" s="17">
        <v>1170.75</v>
      </c>
      <c r="H149" s="17">
        <v>0</v>
      </c>
      <c r="I149" s="17">
        <f>G149*AO149</f>
        <v>0</v>
      </c>
      <c r="J149" s="17">
        <f>G149*AP149</f>
        <v>0</v>
      </c>
      <c r="K149" s="17">
        <f>G149*H149</f>
        <v>0</v>
      </c>
      <c r="L149" s="29" t="s">
        <v>691</v>
      </c>
      <c r="Z149" s="32">
        <f>IF(AQ149="5",BJ149,0)</f>
        <v>0</v>
      </c>
      <c r="AB149" s="32">
        <f>IF(AQ149="1",BH149,0)</f>
        <v>0</v>
      </c>
      <c r="AC149" s="32">
        <f>IF(AQ149="1",BI149,0)</f>
        <v>0</v>
      </c>
      <c r="AD149" s="32">
        <f>IF(AQ149="7",BH149,0)</f>
        <v>0</v>
      </c>
      <c r="AE149" s="32">
        <f>IF(AQ149="7",BI149,0)</f>
        <v>0</v>
      </c>
      <c r="AF149" s="32">
        <f>IF(AQ149="2",BH149,0)</f>
        <v>0</v>
      </c>
      <c r="AG149" s="32">
        <f>IF(AQ149="2",BI149,0)</f>
        <v>0</v>
      </c>
      <c r="AH149" s="32">
        <f>IF(AQ149="0",BJ149,0)</f>
        <v>0</v>
      </c>
      <c r="AI149" s="28"/>
      <c r="AJ149" s="17">
        <f>IF(AN149=0,K149,0)</f>
        <v>0</v>
      </c>
      <c r="AK149" s="17">
        <f>IF(AN149=15,K149,0)</f>
        <v>0</v>
      </c>
      <c r="AL149" s="17">
        <f>IF(AN149=21,K149,0)</f>
        <v>0</v>
      </c>
      <c r="AN149" s="32">
        <v>21</v>
      </c>
      <c r="AO149" s="32">
        <f>H149*1</f>
        <v>0</v>
      </c>
      <c r="AP149" s="32">
        <f>H149*(1-1)</f>
        <v>0</v>
      </c>
      <c r="AQ149" s="29" t="s">
        <v>13</v>
      </c>
      <c r="AV149" s="32">
        <f>AW149+AX149</f>
        <v>0</v>
      </c>
      <c r="AW149" s="32">
        <f>G149*AO149</f>
        <v>0</v>
      </c>
      <c r="AX149" s="32">
        <f>G149*AP149</f>
        <v>0</v>
      </c>
      <c r="AY149" s="33" t="s">
        <v>712</v>
      </c>
      <c r="AZ149" s="33" t="s">
        <v>734</v>
      </c>
      <c r="BA149" s="28" t="s">
        <v>739</v>
      </c>
      <c r="BC149" s="32">
        <f>AW149+AX149</f>
        <v>0</v>
      </c>
      <c r="BD149" s="32">
        <f>H149/(100-BE149)*100</f>
        <v>0</v>
      </c>
      <c r="BE149" s="32">
        <v>0</v>
      </c>
      <c r="BF149" s="32">
        <f>147</f>
        <v>147</v>
      </c>
      <c r="BH149" s="17">
        <f>G149*AO149</f>
        <v>0</v>
      </c>
      <c r="BI149" s="17">
        <f>G149*AP149</f>
        <v>0</v>
      </c>
      <c r="BJ149" s="17">
        <f>G149*H149</f>
        <v>0</v>
      </c>
    </row>
    <row r="150" spans="1:62" x14ac:dyDescent="0.2">
      <c r="C150" s="58" t="s">
        <v>433</v>
      </c>
      <c r="D150" s="59"/>
      <c r="E150" s="59"/>
      <c r="G150" s="16">
        <v>1170.75</v>
      </c>
    </row>
    <row r="151" spans="1:62" x14ac:dyDescent="0.2">
      <c r="A151" s="4" t="s">
        <v>53</v>
      </c>
      <c r="B151" s="4" t="s">
        <v>194</v>
      </c>
      <c r="C151" s="60" t="s">
        <v>434</v>
      </c>
      <c r="D151" s="61"/>
      <c r="E151" s="61"/>
      <c r="F151" s="4" t="s">
        <v>667</v>
      </c>
      <c r="G151" s="15">
        <v>1115</v>
      </c>
      <c r="H151" s="15">
        <v>0</v>
      </c>
      <c r="I151" s="15">
        <f>G151*AO151</f>
        <v>0</v>
      </c>
      <c r="J151" s="15">
        <f>G151*AP151</f>
        <v>0</v>
      </c>
      <c r="K151" s="15">
        <f>G151*H151</f>
        <v>0</v>
      </c>
      <c r="L151" s="27" t="s">
        <v>691</v>
      </c>
      <c r="Z151" s="32">
        <f>IF(AQ151="5",BJ151,0)</f>
        <v>0</v>
      </c>
      <c r="AB151" s="32">
        <f>IF(AQ151="1",BH151,0)</f>
        <v>0</v>
      </c>
      <c r="AC151" s="32">
        <f>IF(AQ151="1",BI151,0)</f>
        <v>0</v>
      </c>
      <c r="AD151" s="32">
        <f>IF(AQ151="7",BH151,0)</f>
        <v>0</v>
      </c>
      <c r="AE151" s="32">
        <f>IF(AQ151="7",BI151,0)</f>
        <v>0</v>
      </c>
      <c r="AF151" s="32">
        <f>IF(AQ151="2",BH151,0)</f>
        <v>0</v>
      </c>
      <c r="AG151" s="32">
        <f>IF(AQ151="2",BI151,0)</f>
        <v>0</v>
      </c>
      <c r="AH151" s="32">
        <f>IF(AQ151="0",BJ151,0)</f>
        <v>0</v>
      </c>
      <c r="AI151" s="28"/>
      <c r="AJ151" s="15">
        <f>IF(AN151=0,K151,0)</f>
        <v>0</v>
      </c>
      <c r="AK151" s="15">
        <f>IF(AN151=15,K151,0)</f>
        <v>0</v>
      </c>
      <c r="AL151" s="15">
        <f>IF(AN151=21,K151,0)</f>
        <v>0</v>
      </c>
      <c r="AN151" s="32">
        <v>21</v>
      </c>
      <c r="AO151" s="32">
        <f>H151*0</f>
        <v>0</v>
      </c>
      <c r="AP151" s="32">
        <f>H151*(1-0)</f>
        <v>0</v>
      </c>
      <c r="AQ151" s="27" t="s">
        <v>13</v>
      </c>
      <c r="AV151" s="32">
        <f>AW151+AX151</f>
        <v>0</v>
      </c>
      <c r="AW151" s="32">
        <f>G151*AO151</f>
        <v>0</v>
      </c>
      <c r="AX151" s="32">
        <f>G151*AP151</f>
        <v>0</v>
      </c>
      <c r="AY151" s="33" t="s">
        <v>712</v>
      </c>
      <c r="AZ151" s="33" t="s">
        <v>734</v>
      </c>
      <c r="BA151" s="28" t="s">
        <v>739</v>
      </c>
      <c r="BC151" s="32">
        <f>AW151+AX151</f>
        <v>0</v>
      </c>
      <c r="BD151" s="32">
        <f>H151/(100-BE151)*100</f>
        <v>0</v>
      </c>
      <c r="BE151" s="32">
        <v>0</v>
      </c>
      <c r="BF151" s="32">
        <f>149</f>
        <v>149</v>
      </c>
      <c r="BH151" s="15">
        <f>G151*AO151</f>
        <v>0</v>
      </c>
      <c r="BI151" s="15">
        <f>G151*AP151</f>
        <v>0</v>
      </c>
      <c r="BJ151" s="15">
        <f>G151*H151</f>
        <v>0</v>
      </c>
    </row>
    <row r="152" spans="1:62" x14ac:dyDescent="0.2">
      <c r="C152" s="58" t="s">
        <v>791</v>
      </c>
      <c r="D152" s="59"/>
      <c r="E152" s="59"/>
      <c r="G152" s="16">
        <v>1115</v>
      </c>
    </row>
    <row r="153" spans="1:62" x14ac:dyDescent="0.2">
      <c r="A153" s="6" t="s">
        <v>54</v>
      </c>
      <c r="B153" s="6" t="s">
        <v>195</v>
      </c>
      <c r="C153" s="68" t="s">
        <v>792</v>
      </c>
      <c r="D153" s="69"/>
      <c r="E153" s="69"/>
      <c r="F153" s="6" t="s">
        <v>667</v>
      </c>
      <c r="G153" s="17">
        <v>1170.75</v>
      </c>
      <c r="H153" s="17">
        <v>0</v>
      </c>
      <c r="I153" s="17">
        <f>G153*AO153</f>
        <v>0</v>
      </c>
      <c r="J153" s="17">
        <f>G153*AP153</f>
        <v>0</v>
      </c>
      <c r="K153" s="17">
        <f>G153*H153</f>
        <v>0</v>
      </c>
      <c r="L153" s="29" t="s">
        <v>691</v>
      </c>
      <c r="Z153" s="32">
        <f>IF(AQ153="5",BJ153,0)</f>
        <v>0</v>
      </c>
      <c r="AB153" s="32">
        <f>IF(AQ153="1",BH153,0)</f>
        <v>0</v>
      </c>
      <c r="AC153" s="32">
        <f>IF(AQ153="1",BI153,0)</f>
        <v>0</v>
      </c>
      <c r="AD153" s="32">
        <f>IF(AQ153="7",BH153,0)</f>
        <v>0</v>
      </c>
      <c r="AE153" s="32">
        <f>IF(AQ153="7",BI153,0)</f>
        <v>0</v>
      </c>
      <c r="AF153" s="32">
        <f>IF(AQ153="2",BH153,0)</f>
        <v>0</v>
      </c>
      <c r="AG153" s="32">
        <f>IF(AQ153="2",BI153,0)</f>
        <v>0</v>
      </c>
      <c r="AH153" s="32">
        <f>IF(AQ153="0",BJ153,0)</f>
        <v>0</v>
      </c>
      <c r="AI153" s="28"/>
      <c r="AJ153" s="17">
        <f>IF(AN153=0,K153,0)</f>
        <v>0</v>
      </c>
      <c r="AK153" s="17">
        <f>IF(AN153=15,K153,0)</f>
        <v>0</v>
      </c>
      <c r="AL153" s="17">
        <f>IF(AN153=21,K153,0)</f>
        <v>0</v>
      </c>
      <c r="AN153" s="32">
        <v>21</v>
      </c>
      <c r="AO153" s="32">
        <f>H153*1</f>
        <v>0</v>
      </c>
      <c r="AP153" s="32">
        <f>H153*(1-1)</f>
        <v>0</v>
      </c>
      <c r="AQ153" s="29" t="s">
        <v>13</v>
      </c>
      <c r="AV153" s="32">
        <f>AW153+AX153</f>
        <v>0</v>
      </c>
      <c r="AW153" s="32">
        <f>G153*AO153</f>
        <v>0</v>
      </c>
      <c r="AX153" s="32">
        <f>G153*AP153</f>
        <v>0</v>
      </c>
      <c r="AY153" s="33" t="s">
        <v>712</v>
      </c>
      <c r="AZ153" s="33" t="s">
        <v>734</v>
      </c>
      <c r="BA153" s="28" t="s">
        <v>739</v>
      </c>
      <c r="BC153" s="32">
        <f>AW153+AX153</f>
        <v>0</v>
      </c>
      <c r="BD153" s="32">
        <f>H153/(100-BE153)*100</f>
        <v>0</v>
      </c>
      <c r="BE153" s="32">
        <v>0</v>
      </c>
      <c r="BF153" s="32">
        <f>151</f>
        <v>151</v>
      </c>
      <c r="BH153" s="17">
        <f>G153*AO153</f>
        <v>0</v>
      </c>
      <c r="BI153" s="17">
        <f>G153*AP153</f>
        <v>0</v>
      </c>
      <c r="BJ153" s="17">
        <f>G153*H153</f>
        <v>0</v>
      </c>
    </row>
    <row r="154" spans="1:62" x14ac:dyDescent="0.2">
      <c r="C154" s="58" t="s">
        <v>433</v>
      </c>
      <c r="D154" s="59"/>
      <c r="E154" s="59"/>
      <c r="G154" s="16">
        <v>1170.75</v>
      </c>
    </row>
    <row r="155" spans="1:62" x14ac:dyDescent="0.2">
      <c r="A155" s="4" t="s">
        <v>55</v>
      </c>
      <c r="B155" s="4" t="s">
        <v>196</v>
      </c>
      <c r="C155" s="60" t="s">
        <v>435</v>
      </c>
      <c r="D155" s="61"/>
      <c r="E155" s="61"/>
      <c r="F155" s="4" t="s">
        <v>667</v>
      </c>
      <c r="G155" s="15">
        <v>1115</v>
      </c>
      <c r="H155" s="15">
        <v>0</v>
      </c>
      <c r="I155" s="15">
        <f>G155*AO155</f>
        <v>0</v>
      </c>
      <c r="J155" s="15">
        <f>G155*AP155</f>
        <v>0</v>
      </c>
      <c r="K155" s="15">
        <f>G155*H155</f>
        <v>0</v>
      </c>
      <c r="L155" s="27" t="s">
        <v>691</v>
      </c>
      <c r="Z155" s="32">
        <f>IF(AQ155="5",BJ155,0)</f>
        <v>0</v>
      </c>
      <c r="AB155" s="32">
        <f>IF(AQ155="1",BH155,0)</f>
        <v>0</v>
      </c>
      <c r="AC155" s="32">
        <f>IF(AQ155="1",BI155,0)</f>
        <v>0</v>
      </c>
      <c r="AD155" s="32">
        <f>IF(AQ155="7",BH155,0)</f>
        <v>0</v>
      </c>
      <c r="AE155" s="32">
        <f>IF(AQ155="7",BI155,0)</f>
        <v>0</v>
      </c>
      <c r="AF155" s="32">
        <f>IF(AQ155="2",BH155,0)</f>
        <v>0</v>
      </c>
      <c r="AG155" s="32">
        <f>IF(AQ155="2",BI155,0)</f>
        <v>0</v>
      </c>
      <c r="AH155" s="32">
        <f>IF(AQ155="0",BJ155,0)</f>
        <v>0</v>
      </c>
      <c r="AI155" s="28"/>
      <c r="AJ155" s="15">
        <f>IF(AN155=0,K155,0)</f>
        <v>0</v>
      </c>
      <c r="AK155" s="15">
        <f>IF(AN155=15,K155,0)</f>
        <v>0</v>
      </c>
      <c r="AL155" s="15">
        <f>IF(AN155=21,K155,0)</f>
        <v>0</v>
      </c>
      <c r="AN155" s="32">
        <v>21</v>
      </c>
      <c r="AO155" s="32">
        <f>H155*0</f>
        <v>0</v>
      </c>
      <c r="AP155" s="32">
        <f>H155*(1-0)</f>
        <v>0</v>
      </c>
      <c r="AQ155" s="27" t="s">
        <v>13</v>
      </c>
      <c r="AV155" s="32">
        <f>AW155+AX155</f>
        <v>0</v>
      </c>
      <c r="AW155" s="32">
        <f>G155*AO155</f>
        <v>0</v>
      </c>
      <c r="AX155" s="32">
        <f>G155*AP155</f>
        <v>0</v>
      </c>
      <c r="AY155" s="33" t="s">
        <v>712</v>
      </c>
      <c r="AZ155" s="33" t="s">
        <v>734</v>
      </c>
      <c r="BA155" s="28" t="s">
        <v>739</v>
      </c>
      <c r="BC155" s="32">
        <f>AW155+AX155</f>
        <v>0</v>
      </c>
      <c r="BD155" s="32">
        <f>H155/(100-BE155)*100</f>
        <v>0</v>
      </c>
      <c r="BE155" s="32">
        <v>0</v>
      </c>
      <c r="BF155" s="32">
        <f>153</f>
        <v>153</v>
      </c>
      <c r="BH155" s="15">
        <f>G155*AO155</f>
        <v>0</v>
      </c>
      <c r="BI155" s="15">
        <f>G155*AP155</f>
        <v>0</v>
      </c>
      <c r="BJ155" s="15">
        <f>G155*H155</f>
        <v>0</v>
      </c>
    </row>
    <row r="156" spans="1:62" x14ac:dyDescent="0.2">
      <c r="C156" s="58" t="s">
        <v>432</v>
      </c>
      <c r="D156" s="59"/>
      <c r="E156" s="59"/>
      <c r="G156" s="16">
        <v>1115</v>
      </c>
    </row>
    <row r="157" spans="1:62" x14ac:dyDescent="0.2">
      <c r="A157" s="6" t="s">
        <v>56</v>
      </c>
      <c r="B157" s="6" t="s">
        <v>197</v>
      </c>
      <c r="C157" s="68" t="s">
        <v>793</v>
      </c>
      <c r="D157" s="69"/>
      <c r="E157" s="69"/>
      <c r="F157" s="6" t="s">
        <v>667</v>
      </c>
      <c r="G157" s="17">
        <v>1170.75</v>
      </c>
      <c r="H157" s="17">
        <v>0</v>
      </c>
      <c r="I157" s="17">
        <f>G157*AO157</f>
        <v>0</v>
      </c>
      <c r="J157" s="17">
        <f>G157*AP157</f>
        <v>0</v>
      </c>
      <c r="K157" s="17">
        <f>G157*H157</f>
        <v>0</v>
      </c>
      <c r="L157" s="29" t="s">
        <v>691</v>
      </c>
      <c r="Z157" s="32">
        <f>IF(AQ157="5",BJ157,0)</f>
        <v>0</v>
      </c>
      <c r="AB157" s="32">
        <f>IF(AQ157="1",BH157,0)</f>
        <v>0</v>
      </c>
      <c r="AC157" s="32">
        <f>IF(AQ157="1",BI157,0)</f>
        <v>0</v>
      </c>
      <c r="AD157" s="32">
        <f>IF(AQ157="7",BH157,0)</f>
        <v>0</v>
      </c>
      <c r="AE157" s="32">
        <f>IF(AQ157="7",BI157,0)</f>
        <v>0</v>
      </c>
      <c r="AF157" s="32">
        <f>IF(AQ157="2",BH157,0)</f>
        <v>0</v>
      </c>
      <c r="AG157" s="32">
        <f>IF(AQ157="2",BI157,0)</f>
        <v>0</v>
      </c>
      <c r="AH157" s="32">
        <f>IF(AQ157="0",BJ157,0)</f>
        <v>0</v>
      </c>
      <c r="AI157" s="28"/>
      <c r="AJ157" s="17">
        <f>IF(AN157=0,K157,0)</f>
        <v>0</v>
      </c>
      <c r="AK157" s="17">
        <f>IF(AN157=15,K157,0)</f>
        <v>0</v>
      </c>
      <c r="AL157" s="17">
        <f>IF(AN157=21,K157,0)</f>
        <v>0</v>
      </c>
      <c r="AN157" s="32">
        <v>21</v>
      </c>
      <c r="AO157" s="32">
        <f>H157*1</f>
        <v>0</v>
      </c>
      <c r="AP157" s="32">
        <f>H157*(1-1)</f>
        <v>0</v>
      </c>
      <c r="AQ157" s="29" t="s">
        <v>13</v>
      </c>
      <c r="AV157" s="32">
        <f>AW157+AX157</f>
        <v>0</v>
      </c>
      <c r="AW157" s="32">
        <f>G157*AO157</f>
        <v>0</v>
      </c>
      <c r="AX157" s="32">
        <f>G157*AP157</f>
        <v>0</v>
      </c>
      <c r="AY157" s="33" t="s">
        <v>712</v>
      </c>
      <c r="AZ157" s="33" t="s">
        <v>734</v>
      </c>
      <c r="BA157" s="28" t="s">
        <v>739</v>
      </c>
      <c r="BC157" s="32">
        <f>AW157+AX157</f>
        <v>0</v>
      </c>
      <c r="BD157" s="32">
        <f>H157/(100-BE157)*100</f>
        <v>0</v>
      </c>
      <c r="BE157" s="32">
        <v>0</v>
      </c>
      <c r="BF157" s="32">
        <f>155</f>
        <v>155</v>
      </c>
      <c r="BH157" s="17">
        <f>G157*AO157</f>
        <v>0</v>
      </c>
      <c r="BI157" s="17">
        <f>G157*AP157</f>
        <v>0</v>
      </c>
      <c r="BJ157" s="17">
        <f>G157*H157</f>
        <v>0</v>
      </c>
    </row>
    <row r="158" spans="1:62" x14ac:dyDescent="0.2">
      <c r="C158" s="58" t="s">
        <v>433</v>
      </c>
      <c r="D158" s="59"/>
      <c r="E158" s="59"/>
      <c r="G158" s="16">
        <v>1170.75</v>
      </c>
    </row>
    <row r="159" spans="1:62" x14ac:dyDescent="0.2">
      <c r="A159" s="4" t="s">
        <v>57</v>
      </c>
      <c r="B159" s="4" t="s">
        <v>198</v>
      </c>
      <c r="C159" s="60" t="s">
        <v>436</v>
      </c>
      <c r="D159" s="61"/>
      <c r="E159" s="61"/>
      <c r="F159" s="4" t="s">
        <v>672</v>
      </c>
      <c r="G159" s="15">
        <v>7.3225600000000002</v>
      </c>
      <c r="H159" s="15">
        <v>0</v>
      </c>
      <c r="I159" s="15">
        <f>G159*AO159</f>
        <v>0</v>
      </c>
      <c r="J159" s="15">
        <f>G159*AP159</f>
        <v>0</v>
      </c>
      <c r="K159" s="15">
        <f>G159*H159</f>
        <v>0</v>
      </c>
      <c r="L159" s="27" t="s">
        <v>690</v>
      </c>
      <c r="Z159" s="32">
        <f>IF(AQ159="5",BJ159,0)</f>
        <v>0</v>
      </c>
      <c r="AB159" s="32">
        <f>IF(AQ159="1",BH159,0)</f>
        <v>0</v>
      </c>
      <c r="AC159" s="32">
        <f>IF(AQ159="1",BI159,0)</f>
        <v>0</v>
      </c>
      <c r="AD159" s="32">
        <f>IF(AQ159="7",BH159,0)</f>
        <v>0</v>
      </c>
      <c r="AE159" s="32">
        <f>IF(AQ159="7",BI159,0)</f>
        <v>0</v>
      </c>
      <c r="AF159" s="32">
        <f>IF(AQ159="2",BH159,0)</f>
        <v>0</v>
      </c>
      <c r="AG159" s="32">
        <f>IF(AQ159="2",BI159,0)</f>
        <v>0</v>
      </c>
      <c r="AH159" s="32">
        <f>IF(AQ159="0",BJ159,0)</f>
        <v>0</v>
      </c>
      <c r="AI159" s="28"/>
      <c r="AJ159" s="15">
        <f>IF(AN159=0,K159,0)</f>
        <v>0</v>
      </c>
      <c r="AK159" s="15">
        <f>IF(AN159=15,K159,0)</f>
        <v>0</v>
      </c>
      <c r="AL159" s="15">
        <f>IF(AN159=21,K159,0)</f>
        <v>0</v>
      </c>
      <c r="AN159" s="32">
        <v>21</v>
      </c>
      <c r="AO159" s="32">
        <f>H159*0</f>
        <v>0</v>
      </c>
      <c r="AP159" s="32">
        <f>H159*(1-0)</f>
        <v>0</v>
      </c>
      <c r="AQ159" s="27" t="s">
        <v>11</v>
      </c>
      <c r="AV159" s="32">
        <f>AW159+AX159</f>
        <v>0</v>
      </c>
      <c r="AW159" s="32">
        <f>G159*AO159</f>
        <v>0</v>
      </c>
      <c r="AX159" s="32">
        <f>G159*AP159</f>
        <v>0</v>
      </c>
      <c r="AY159" s="33" t="s">
        <v>712</v>
      </c>
      <c r="AZ159" s="33" t="s">
        <v>734</v>
      </c>
      <c r="BA159" s="28" t="s">
        <v>739</v>
      </c>
      <c r="BC159" s="32">
        <f>AW159+AX159</f>
        <v>0</v>
      </c>
      <c r="BD159" s="32">
        <f>H159/(100-BE159)*100</f>
        <v>0</v>
      </c>
      <c r="BE159" s="32">
        <v>0</v>
      </c>
      <c r="BF159" s="32">
        <f>157</f>
        <v>157</v>
      </c>
      <c r="BH159" s="15">
        <f>G159*AO159</f>
        <v>0</v>
      </c>
      <c r="BI159" s="15">
        <f>G159*AP159</f>
        <v>0</v>
      </c>
      <c r="BJ159" s="15">
        <f>G159*H159</f>
        <v>0</v>
      </c>
    </row>
    <row r="160" spans="1:62" x14ac:dyDescent="0.2">
      <c r="C160" s="58" t="s">
        <v>437</v>
      </c>
      <c r="D160" s="59"/>
      <c r="E160" s="59"/>
      <c r="G160" s="16">
        <v>7.3225600000000002</v>
      </c>
    </row>
    <row r="161" spans="1:62" x14ac:dyDescent="0.2">
      <c r="A161" s="5"/>
      <c r="B161" s="13" t="s">
        <v>199</v>
      </c>
      <c r="C161" s="66" t="s">
        <v>438</v>
      </c>
      <c r="D161" s="67"/>
      <c r="E161" s="67"/>
      <c r="F161" s="5" t="s">
        <v>6</v>
      </c>
      <c r="G161" s="5" t="s">
        <v>6</v>
      </c>
      <c r="H161" s="5" t="s">
        <v>6</v>
      </c>
      <c r="I161" s="35">
        <f>SUM(I162:I171)</f>
        <v>0</v>
      </c>
      <c r="J161" s="35">
        <f>SUM(J162:J171)</f>
        <v>0</v>
      </c>
      <c r="K161" s="35">
        <f>SUM(K162:K171)</f>
        <v>0</v>
      </c>
      <c r="L161" s="28"/>
      <c r="AI161" s="28"/>
      <c r="AS161" s="35">
        <f>SUM(AJ162:AJ171)</f>
        <v>0</v>
      </c>
      <c r="AT161" s="35">
        <f>SUM(AK162:AK171)</f>
        <v>0</v>
      </c>
      <c r="AU161" s="35">
        <f>SUM(AL162:AL171)</f>
        <v>0</v>
      </c>
    </row>
    <row r="162" spans="1:62" x14ac:dyDescent="0.2">
      <c r="A162" s="4" t="s">
        <v>58</v>
      </c>
      <c r="B162" s="4" t="s">
        <v>200</v>
      </c>
      <c r="C162" s="60" t="s">
        <v>439</v>
      </c>
      <c r="D162" s="61"/>
      <c r="E162" s="61"/>
      <c r="F162" s="4" t="s">
        <v>667</v>
      </c>
      <c r="G162" s="15">
        <v>1053</v>
      </c>
      <c r="H162" s="15">
        <v>0</v>
      </c>
      <c r="I162" s="15">
        <f>G162*AO162</f>
        <v>0</v>
      </c>
      <c r="J162" s="15">
        <f>G162*AP162</f>
        <v>0</v>
      </c>
      <c r="K162" s="15">
        <f>G162*H162</f>
        <v>0</v>
      </c>
      <c r="L162" s="27" t="s">
        <v>690</v>
      </c>
      <c r="Z162" s="32">
        <f>IF(AQ162="5",BJ162,0)</f>
        <v>0</v>
      </c>
      <c r="AB162" s="32">
        <f>IF(AQ162="1",BH162,0)</f>
        <v>0</v>
      </c>
      <c r="AC162" s="32">
        <f>IF(AQ162="1",BI162,0)</f>
        <v>0</v>
      </c>
      <c r="AD162" s="32">
        <f>IF(AQ162="7",BH162,0)</f>
        <v>0</v>
      </c>
      <c r="AE162" s="32">
        <f>IF(AQ162="7",BI162,0)</f>
        <v>0</v>
      </c>
      <c r="AF162" s="32">
        <f>IF(AQ162="2",BH162,0)</f>
        <v>0</v>
      </c>
      <c r="AG162" s="32">
        <f>IF(AQ162="2",BI162,0)</f>
        <v>0</v>
      </c>
      <c r="AH162" s="32">
        <f>IF(AQ162="0",BJ162,0)</f>
        <v>0</v>
      </c>
      <c r="AI162" s="28"/>
      <c r="AJ162" s="15">
        <f>IF(AN162=0,K162,0)</f>
        <v>0</v>
      </c>
      <c r="AK162" s="15">
        <f>IF(AN162=15,K162,0)</f>
        <v>0</v>
      </c>
      <c r="AL162" s="15">
        <f>IF(AN162=21,K162,0)</f>
        <v>0</v>
      </c>
      <c r="AN162" s="32">
        <v>21</v>
      </c>
      <c r="AO162" s="32">
        <f>H162*0</f>
        <v>0</v>
      </c>
      <c r="AP162" s="32">
        <f>H162*(1-0)</f>
        <v>0</v>
      </c>
      <c r="AQ162" s="27" t="s">
        <v>13</v>
      </c>
      <c r="AV162" s="32">
        <f>AW162+AX162</f>
        <v>0</v>
      </c>
      <c r="AW162" s="32">
        <f>G162*AO162</f>
        <v>0</v>
      </c>
      <c r="AX162" s="32">
        <f>G162*AP162</f>
        <v>0</v>
      </c>
      <c r="AY162" s="33" t="s">
        <v>713</v>
      </c>
      <c r="AZ162" s="33" t="s">
        <v>734</v>
      </c>
      <c r="BA162" s="28" t="s">
        <v>739</v>
      </c>
      <c r="BC162" s="32">
        <f>AW162+AX162</f>
        <v>0</v>
      </c>
      <c r="BD162" s="32">
        <f>H162/(100-BE162)*100</f>
        <v>0</v>
      </c>
      <c r="BE162" s="32">
        <v>0</v>
      </c>
      <c r="BF162" s="32">
        <f>160</f>
        <v>160</v>
      </c>
      <c r="BH162" s="15">
        <f>G162*AO162</f>
        <v>0</v>
      </c>
      <c r="BI162" s="15">
        <f>G162*AP162</f>
        <v>0</v>
      </c>
      <c r="BJ162" s="15">
        <f>G162*H162</f>
        <v>0</v>
      </c>
    </row>
    <row r="163" spans="1:62" x14ac:dyDescent="0.2">
      <c r="C163" s="58" t="s">
        <v>440</v>
      </c>
      <c r="D163" s="59"/>
      <c r="E163" s="59"/>
      <c r="G163" s="16">
        <v>1053</v>
      </c>
    </row>
    <row r="164" spans="1:62" x14ac:dyDescent="0.2">
      <c r="A164" s="4" t="s">
        <v>59</v>
      </c>
      <c r="B164" s="4" t="s">
        <v>201</v>
      </c>
      <c r="C164" s="60" t="s">
        <v>441</v>
      </c>
      <c r="D164" s="61"/>
      <c r="E164" s="61"/>
      <c r="F164" s="4" t="s">
        <v>667</v>
      </c>
      <c r="G164" s="15">
        <v>1115</v>
      </c>
      <c r="H164" s="15">
        <v>0</v>
      </c>
      <c r="I164" s="15">
        <f>G164*AO164</f>
        <v>0</v>
      </c>
      <c r="J164" s="15">
        <f>G164*AP164</f>
        <v>0</v>
      </c>
      <c r="K164" s="15">
        <f>G164*H164</f>
        <v>0</v>
      </c>
      <c r="L164" s="27" t="s">
        <v>690</v>
      </c>
      <c r="Z164" s="32">
        <f>IF(AQ164="5",BJ164,0)</f>
        <v>0</v>
      </c>
      <c r="AB164" s="32">
        <f>IF(AQ164="1",BH164,0)</f>
        <v>0</v>
      </c>
      <c r="AC164" s="32">
        <f>IF(AQ164="1",BI164,0)</f>
        <v>0</v>
      </c>
      <c r="AD164" s="32">
        <f>IF(AQ164="7",BH164,0)</f>
        <v>0</v>
      </c>
      <c r="AE164" s="32">
        <f>IF(AQ164="7",BI164,0)</f>
        <v>0</v>
      </c>
      <c r="AF164" s="32">
        <f>IF(AQ164="2",BH164,0)</f>
        <v>0</v>
      </c>
      <c r="AG164" s="32">
        <f>IF(AQ164="2",BI164,0)</f>
        <v>0</v>
      </c>
      <c r="AH164" s="32">
        <f>IF(AQ164="0",BJ164,0)</f>
        <v>0</v>
      </c>
      <c r="AI164" s="28"/>
      <c r="AJ164" s="15">
        <f>IF(AN164=0,K164,0)</f>
        <v>0</v>
      </c>
      <c r="AK164" s="15">
        <f>IF(AN164=15,K164,0)</f>
        <v>0</v>
      </c>
      <c r="AL164" s="15">
        <f>IF(AN164=21,K164,0)</f>
        <v>0</v>
      </c>
      <c r="AN164" s="32">
        <v>21</v>
      </c>
      <c r="AO164" s="32">
        <f>H164*0.269121338912134</f>
        <v>0</v>
      </c>
      <c r="AP164" s="32">
        <f>H164*(1-0.269121338912134)</f>
        <v>0</v>
      </c>
      <c r="AQ164" s="27" t="s">
        <v>13</v>
      </c>
      <c r="AV164" s="32">
        <f>AW164+AX164</f>
        <v>0</v>
      </c>
      <c r="AW164" s="32">
        <f>G164*AO164</f>
        <v>0</v>
      </c>
      <c r="AX164" s="32">
        <f>G164*AP164</f>
        <v>0</v>
      </c>
      <c r="AY164" s="33" t="s">
        <v>713</v>
      </c>
      <c r="AZ164" s="33" t="s">
        <v>734</v>
      </c>
      <c r="BA164" s="28" t="s">
        <v>739</v>
      </c>
      <c r="BC164" s="32">
        <f>AW164+AX164</f>
        <v>0</v>
      </c>
      <c r="BD164" s="32">
        <f>H164/(100-BE164)*100</f>
        <v>0</v>
      </c>
      <c r="BE164" s="32">
        <v>0</v>
      </c>
      <c r="BF164" s="32">
        <f>162</f>
        <v>162</v>
      </c>
      <c r="BH164" s="15">
        <f>G164*AO164</f>
        <v>0</v>
      </c>
      <c r="BI164" s="15">
        <f>G164*AP164</f>
        <v>0</v>
      </c>
      <c r="BJ164" s="15">
        <f>G164*H164</f>
        <v>0</v>
      </c>
    </row>
    <row r="165" spans="1:62" x14ac:dyDescent="0.2">
      <c r="C165" s="58" t="s">
        <v>442</v>
      </c>
      <c r="D165" s="59"/>
      <c r="E165" s="59"/>
      <c r="G165" s="16">
        <v>1053</v>
      </c>
    </row>
    <row r="166" spans="1:62" x14ac:dyDescent="0.2">
      <c r="C166" s="58" t="s">
        <v>443</v>
      </c>
      <c r="D166" s="59"/>
      <c r="E166" s="59"/>
      <c r="G166" s="16">
        <v>62</v>
      </c>
    </row>
    <row r="167" spans="1:62" x14ac:dyDescent="0.2">
      <c r="A167" s="6" t="s">
        <v>60</v>
      </c>
      <c r="B167" s="6" t="s">
        <v>202</v>
      </c>
      <c r="C167" s="68" t="s">
        <v>444</v>
      </c>
      <c r="D167" s="69"/>
      <c r="E167" s="69"/>
      <c r="F167" s="6" t="s">
        <v>668</v>
      </c>
      <c r="G167" s="17">
        <v>262.83359999999999</v>
      </c>
      <c r="H167" s="17">
        <v>0</v>
      </c>
      <c r="I167" s="17">
        <f>G167*AO167</f>
        <v>0</v>
      </c>
      <c r="J167" s="17">
        <f>G167*AP167</f>
        <v>0</v>
      </c>
      <c r="K167" s="17">
        <f>G167*H167</f>
        <v>0</v>
      </c>
      <c r="L167" s="29" t="s">
        <v>690</v>
      </c>
      <c r="Z167" s="32">
        <f>IF(AQ167="5",BJ167,0)</f>
        <v>0</v>
      </c>
      <c r="AB167" s="32">
        <f>IF(AQ167="1",BH167,0)</f>
        <v>0</v>
      </c>
      <c r="AC167" s="32">
        <f>IF(AQ167="1",BI167,0)</f>
        <v>0</v>
      </c>
      <c r="AD167" s="32">
        <f>IF(AQ167="7",BH167,0)</f>
        <v>0</v>
      </c>
      <c r="AE167" s="32">
        <f>IF(AQ167="7",BI167,0)</f>
        <v>0</v>
      </c>
      <c r="AF167" s="32">
        <f>IF(AQ167="2",BH167,0)</f>
        <v>0</v>
      </c>
      <c r="AG167" s="32">
        <f>IF(AQ167="2",BI167,0)</f>
        <v>0</v>
      </c>
      <c r="AH167" s="32">
        <f>IF(AQ167="0",BJ167,0)</f>
        <v>0</v>
      </c>
      <c r="AI167" s="28"/>
      <c r="AJ167" s="17">
        <f>IF(AN167=0,K167,0)</f>
        <v>0</v>
      </c>
      <c r="AK167" s="17">
        <f>IF(AN167=15,K167,0)</f>
        <v>0</v>
      </c>
      <c r="AL167" s="17">
        <f>IF(AN167=21,K167,0)</f>
        <v>0</v>
      </c>
      <c r="AN167" s="32">
        <v>21</v>
      </c>
      <c r="AO167" s="32">
        <f>H167*1</f>
        <v>0</v>
      </c>
      <c r="AP167" s="32">
        <f>H167*(1-1)</f>
        <v>0</v>
      </c>
      <c r="AQ167" s="29" t="s">
        <v>13</v>
      </c>
      <c r="AV167" s="32">
        <f>AW167+AX167</f>
        <v>0</v>
      </c>
      <c r="AW167" s="32">
        <f>G167*AO167</f>
        <v>0</v>
      </c>
      <c r="AX167" s="32">
        <f>G167*AP167</f>
        <v>0</v>
      </c>
      <c r="AY167" s="33" t="s">
        <v>713</v>
      </c>
      <c r="AZ167" s="33" t="s">
        <v>734</v>
      </c>
      <c r="BA167" s="28" t="s">
        <v>739</v>
      </c>
      <c r="BC167" s="32">
        <f>AW167+AX167</f>
        <v>0</v>
      </c>
      <c r="BD167" s="32">
        <f>H167/(100-BE167)*100</f>
        <v>0</v>
      </c>
      <c r="BE167" s="32">
        <v>0</v>
      </c>
      <c r="BF167" s="32">
        <f>165</f>
        <v>165</v>
      </c>
      <c r="BH167" s="17">
        <f>G167*AO167</f>
        <v>0</v>
      </c>
      <c r="BI167" s="17">
        <f>G167*AP167</f>
        <v>0</v>
      </c>
      <c r="BJ167" s="17">
        <f>G167*H167</f>
        <v>0</v>
      </c>
    </row>
    <row r="168" spans="1:62" x14ac:dyDescent="0.2">
      <c r="C168" s="58" t="s">
        <v>445</v>
      </c>
      <c r="D168" s="59"/>
      <c r="E168" s="59"/>
      <c r="G168" s="16">
        <v>252.72</v>
      </c>
    </row>
    <row r="169" spans="1:62" x14ac:dyDescent="0.2">
      <c r="C169" s="58" t="s">
        <v>446</v>
      </c>
      <c r="D169" s="59"/>
      <c r="E169" s="59"/>
      <c r="G169" s="16">
        <v>4.96</v>
      </c>
    </row>
    <row r="170" spans="1:62" x14ac:dyDescent="0.2">
      <c r="C170" s="58" t="s">
        <v>447</v>
      </c>
      <c r="D170" s="59"/>
      <c r="E170" s="59"/>
      <c r="G170" s="16">
        <v>5.1536</v>
      </c>
    </row>
    <row r="171" spans="1:62" x14ac:dyDescent="0.2">
      <c r="A171" s="4" t="s">
        <v>61</v>
      </c>
      <c r="B171" s="4" t="s">
        <v>203</v>
      </c>
      <c r="C171" s="60" t="s">
        <v>448</v>
      </c>
      <c r="D171" s="61"/>
      <c r="E171" s="61"/>
      <c r="F171" s="4" t="s">
        <v>672</v>
      </c>
      <c r="G171" s="15">
        <v>7.8850100000000003</v>
      </c>
      <c r="H171" s="15">
        <v>0</v>
      </c>
      <c r="I171" s="15">
        <f>G171*AO171</f>
        <v>0</v>
      </c>
      <c r="J171" s="15">
        <f>G171*AP171</f>
        <v>0</v>
      </c>
      <c r="K171" s="15">
        <f>G171*H171</f>
        <v>0</v>
      </c>
      <c r="L171" s="27" t="s">
        <v>690</v>
      </c>
      <c r="Z171" s="32">
        <f>IF(AQ171="5",BJ171,0)</f>
        <v>0</v>
      </c>
      <c r="AB171" s="32">
        <f>IF(AQ171="1",BH171,0)</f>
        <v>0</v>
      </c>
      <c r="AC171" s="32">
        <f>IF(AQ171="1",BI171,0)</f>
        <v>0</v>
      </c>
      <c r="AD171" s="32">
        <f>IF(AQ171="7",BH171,0)</f>
        <v>0</v>
      </c>
      <c r="AE171" s="32">
        <f>IF(AQ171="7",BI171,0)</f>
        <v>0</v>
      </c>
      <c r="AF171" s="32">
        <f>IF(AQ171="2",BH171,0)</f>
        <v>0</v>
      </c>
      <c r="AG171" s="32">
        <f>IF(AQ171="2",BI171,0)</f>
        <v>0</v>
      </c>
      <c r="AH171" s="32">
        <f>IF(AQ171="0",BJ171,0)</f>
        <v>0</v>
      </c>
      <c r="AI171" s="28"/>
      <c r="AJ171" s="15">
        <f>IF(AN171=0,K171,0)</f>
        <v>0</v>
      </c>
      <c r="AK171" s="15">
        <f>IF(AN171=15,K171,0)</f>
        <v>0</v>
      </c>
      <c r="AL171" s="15">
        <f>IF(AN171=21,K171,0)</f>
        <v>0</v>
      </c>
      <c r="AN171" s="32">
        <v>21</v>
      </c>
      <c r="AO171" s="32">
        <f>H171*0</f>
        <v>0</v>
      </c>
      <c r="AP171" s="32">
        <f>H171*(1-0)</f>
        <v>0</v>
      </c>
      <c r="AQ171" s="27" t="s">
        <v>11</v>
      </c>
      <c r="AV171" s="32">
        <f>AW171+AX171</f>
        <v>0</v>
      </c>
      <c r="AW171" s="32">
        <f>G171*AO171</f>
        <v>0</v>
      </c>
      <c r="AX171" s="32">
        <f>G171*AP171</f>
        <v>0</v>
      </c>
      <c r="AY171" s="33" t="s">
        <v>713</v>
      </c>
      <c r="AZ171" s="33" t="s">
        <v>734</v>
      </c>
      <c r="BA171" s="28" t="s">
        <v>739</v>
      </c>
      <c r="BC171" s="32">
        <f>AW171+AX171</f>
        <v>0</v>
      </c>
      <c r="BD171" s="32">
        <f>H171/(100-BE171)*100</f>
        <v>0</v>
      </c>
      <c r="BE171" s="32">
        <v>0</v>
      </c>
      <c r="BF171" s="32">
        <f>169</f>
        <v>169</v>
      </c>
      <c r="BH171" s="15">
        <f>G171*AO171</f>
        <v>0</v>
      </c>
      <c r="BI171" s="15">
        <f>G171*AP171</f>
        <v>0</v>
      </c>
      <c r="BJ171" s="15">
        <f>G171*H171</f>
        <v>0</v>
      </c>
    </row>
    <row r="172" spans="1:62" x14ac:dyDescent="0.2">
      <c r="C172" s="58" t="s">
        <v>449</v>
      </c>
      <c r="D172" s="59"/>
      <c r="E172" s="59"/>
      <c r="G172" s="16">
        <v>7.8850100000000003</v>
      </c>
    </row>
    <row r="173" spans="1:62" x14ac:dyDescent="0.2">
      <c r="A173" s="5"/>
      <c r="B173" s="13" t="s">
        <v>204</v>
      </c>
      <c r="C173" s="66" t="s">
        <v>450</v>
      </c>
      <c r="D173" s="67"/>
      <c r="E173" s="67"/>
      <c r="F173" s="5" t="s">
        <v>6</v>
      </c>
      <c r="G173" s="5" t="s">
        <v>6</v>
      </c>
      <c r="H173" s="5" t="s">
        <v>6</v>
      </c>
      <c r="I173" s="35">
        <f>SUM(I174:I174)</f>
        <v>0</v>
      </c>
      <c r="J173" s="35">
        <f>SUM(J174:J174)</f>
        <v>0</v>
      </c>
      <c r="K173" s="35">
        <f>SUM(K174:K174)</f>
        <v>0</v>
      </c>
      <c r="L173" s="28"/>
      <c r="AI173" s="28"/>
      <c r="AS173" s="35">
        <f>SUM(AJ174:AJ174)</f>
        <v>0</v>
      </c>
      <c r="AT173" s="35">
        <f>SUM(AK174:AK174)</f>
        <v>0</v>
      </c>
      <c r="AU173" s="35">
        <f>SUM(AL174:AL174)</f>
        <v>0</v>
      </c>
    </row>
    <row r="174" spans="1:62" x14ac:dyDescent="0.2">
      <c r="A174" s="4" t="s">
        <v>62</v>
      </c>
      <c r="B174" s="4" t="s">
        <v>205</v>
      </c>
      <c r="C174" s="60" t="s">
        <v>451</v>
      </c>
      <c r="D174" s="61"/>
      <c r="E174" s="61"/>
      <c r="F174" s="4" t="s">
        <v>671</v>
      </c>
      <c r="G174" s="15">
        <v>4</v>
      </c>
      <c r="H174" s="15">
        <v>0</v>
      </c>
      <c r="I174" s="15">
        <f>G174*AO174</f>
        <v>0</v>
      </c>
      <c r="J174" s="15">
        <f>G174*AP174</f>
        <v>0</v>
      </c>
      <c r="K174" s="15">
        <f>G174*H174</f>
        <v>0</v>
      </c>
      <c r="L174" s="27" t="s">
        <v>690</v>
      </c>
      <c r="Z174" s="32">
        <f>IF(AQ174="5",BJ174,0)</f>
        <v>0</v>
      </c>
      <c r="AB174" s="32">
        <f>IF(AQ174="1",BH174,0)</f>
        <v>0</v>
      </c>
      <c r="AC174" s="32">
        <f>IF(AQ174="1",BI174,0)</f>
        <v>0</v>
      </c>
      <c r="AD174" s="32">
        <f>IF(AQ174="7",BH174,0)</f>
        <v>0</v>
      </c>
      <c r="AE174" s="32">
        <f>IF(AQ174="7",BI174,0)</f>
        <v>0</v>
      </c>
      <c r="AF174" s="32">
        <f>IF(AQ174="2",BH174,0)</f>
        <v>0</v>
      </c>
      <c r="AG174" s="32">
        <f>IF(AQ174="2",BI174,0)</f>
        <v>0</v>
      </c>
      <c r="AH174" s="32">
        <f>IF(AQ174="0",BJ174,0)</f>
        <v>0</v>
      </c>
      <c r="AI174" s="28"/>
      <c r="AJ174" s="15">
        <f>IF(AN174=0,K174,0)</f>
        <v>0</v>
      </c>
      <c r="AK174" s="15">
        <f>IF(AN174=15,K174,0)</f>
        <v>0</v>
      </c>
      <c r="AL174" s="15">
        <f>IF(AN174=21,K174,0)</f>
        <v>0</v>
      </c>
      <c r="AN174" s="32">
        <v>21</v>
      </c>
      <c r="AO174" s="32">
        <f>H174*0</f>
        <v>0</v>
      </c>
      <c r="AP174" s="32">
        <f>H174*(1-0)</f>
        <v>0</v>
      </c>
      <c r="AQ174" s="27" t="s">
        <v>13</v>
      </c>
      <c r="AV174" s="32">
        <f>AW174+AX174</f>
        <v>0</v>
      </c>
      <c r="AW174" s="32">
        <f>G174*AO174</f>
        <v>0</v>
      </c>
      <c r="AX174" s="32">
        <f>G174*AP174</f>
        <v>0</v>
      </c>
      <c r="AY174" s="33" t="s">
        <v>714</v>
      </c>
      <c r="AZ174" s="33" t="s">
        <v>735</v>
      </c>
      <c r="BA174" s="28" t="s">
        <v>739</v>
      </c>
      <c r="BC174" s="32">
        <f>AW174+AX174</f>
        <v>0</v>
      </c>
      <c r="BD174" s="32">
        <f>H174/(100-BE174)*100</f>
        <v>0</v>
      </c>
      <c r="BE174" s="32">
        <v>0</v>
      </c>
      <c r="BF174" s="32">
        <f>172</f>
        <v>172</v>
      </c>
      <c r="BH174" s="15">
        <f>G174*AO174</f>
        <v>0</v>
      </c>
      <c r="BI174" s="15">
        <f>G174*AP174</f>
        <v>0</v>
      </c>
      <c r="BJ174" s="15">
        <f>G174*H174</f>
        <v>0</v>
      </c>
    </row>
    <row r="175" spans="1:62" x14ac:dyDescent="0.2">
      <c r="C175" s="58" t="s">
        <v>452</v>
      </c>
      <c r="D175" s="59"/>
      <c r="E175" s="59"/>
      <c r="G175" s="16">
        <v>4</v>
      </c>
    </row>
    <row r="176" spans="1:62" x14ac:dyDescent="0.2">
      <c r="A176" s="5"/>
      <c r="B176" s="13" t="s">
        <v>206</v>
      </c>
      <c r="C176" s="66" t="s">
        <v>453</v>
      </c>
      <c r="D176" s="67"/>
      <c r="E176" s="67"/>
      <c r="F176" s="5" t="s">
        <v>6</v>
      </c>
      <c r="G176" s="5" t="s">
        <v>6</v>
      </c>
      <c r="H176" s="5" t="s">
        <v>6</v>
      </c>
      <c r="I176" s="35">
        <f>SUM(I177:I187)</f>
        <v>0</v>
      </c>
      <c r="J176" s="35">
        <f>SUM(J177:J187)</f>
        <v>0</v>
      </c>
      <c r="K176" s="35">
        <f>SUM(K177:K187)</f>
        <v>0</v>
      </c>
      <c r="L176" s="28"/>
      <c r="AI176" s="28"/>
      <c r="AS176" s="35">
        <f>SUM(AJ177:AJ187)</f>
        <v>0</v>
      </c>
      <c r="AT176" s="35">
        <f>SUM(AK177:AK187)</f>
        <v>0</v>
      </c>
      <c r="AU176" s="35">
        <f>SUM(AL177:AL187)</f>
        <v>0</v>
      </c>
    </row>
    <row r="177" spans="1:62" x14ac:dyDescent="0.2">
      <c r="A177" s="4" t="s">
        <v>63</v>
      </c>
      <c r="B177" s="4" t="s">
        <v>207</v>
      </c>
      <c r="C177" s="60" t="s">
        <v>454</v>
      </c>
      <c r="D177" s="61"/>
      <c r="E177" s="61"/>
      <c r="F177" s="4" t="s">
        <v>671</v>
      </c>
      <c r="G177" s="15">
        <v>53</v>
      </c>
      <c r="H177" s="15">
        <v>0</v>
      </c>
      <c r="I177" s="15">
        <f>G177*AO177</f>
        <v>0</v>
      </c>
      <c r="J177" s="15">
        <f>G177*AP177</f>
        <v>0</v>
      </c>
      <c r="K177" s="15">
        <f>G177*H177</f>
        <v>0</v>
      </c>
      <c r="L177" s="27" t="s">
        <v>690</v>
      </c>
      <c r="Z177" s="32">
        <f>IF(AQ177="5",BJ177,0)</f>
        <v>0</v>
      </c>
      <c r="AB177" s="32">
        <f>IF(AQ177="1",BH177,0)</f>
        <v>0</v>
      </c>
      <c r="AC177" s="32">
        <f>IF(AQ177="1",BI177,0)</f>
        <v>0</v>
      </c>
      <c r="AD177" s="32">
        <f>IF(AQ177="7",BH177,0)</f>
        <v>0</v>
      </c>
      <c r="AE177" s="32">
        <f>IF(AQ177="7",BI177,0)</f>
        <v>0</v>
      </c>
      <c r="AF177" s="32">
        <f>IF(AQ177="2",BH177,0)</f>
        <v>0</v>
      </c>
      <c r="AG177" s="32">
        <f>IF(AQ177="2",BI177,0)</f>
        <v>0</v>
      </c>
      <c r="AH177" s="32">
        <f>IF(AQ177="0",BJ177,0)</f>
        <v>0</v>
      </c>
      <c r="AI177" s="28"/>
      <c r="AJ177" s="15">
        <f>IF(AN177=0,K177,0)</f>
        <v>0</v>
      </c>
      <c r="AK177" s="15">
        <f>IF(AN177=15,K177,0)</f>
        <v>0</v>
      </c>
      <c r="AL177" s="15">
        <f>IF(AN177=21,K177,0)</f>
        <v>0</v>
      </c>
      <c r="AN177" s="32">
        <v>21</v>
      </c>
      <c r="AO177" s="32">
        <f>H177*0</f>
        <v>0</v>
      </c>
      <c r="AP177" s="32">
        <f>H177*(1-0)</f>
        <v>0</v>
      </c>
      <c r="AQ177" s="27" t="s">
        <v>13</v>
      </c>
      <c r="AV177" s="32">
        <f>AW177+AX177</f>
        <v>0</v>
      </c>
      <c r="AW177" s="32">
        <f>G177*AO177</f>
        <v>0</v>
      </c>
      <c r="AX177" s="32">
        <f>G177*AP177</f>
        <v>0</v>
      </c>
      <c r="AY177" s="33" t="s">
        <v>715</v>
      </c>
      <c r="AZ177" s="33" t="s">
        <v>735</v>
      </c>
      <c r="BA177" s="28" t="s">
        <v>739</v>
      </c>
      <c r="BC177" s="32">
        <f>AW177+AX177</f>
        <v>0</v>
      </c>
      <c r="BD177" s="32">
        <f>H177/(100-BE177)*100</f>
        <v>0</v>
      </c>
      <c r="BE177" s="32">
        <v>0</v>
      </c>
      <c r="BF177" s="32">
        <f>175</f>
        <v>175</v>
      </c>
      <c r="BH177" s="15">
        <f>G177*AO177</f>
        <v>0</v>
      </c>
      <c r="BI177" s="15">
        <f>G177*AP177</f>
        <v>0</v>
      </c>
      <c r="BJ177" s="15">
        <f>G177*H177</f>
        <v>0</v>
      </c>
    </row>
    <row r="178" spans="1:62" x14ac:dyDescent="0.2">
      <c r="C178" s="58" t="s">
        <v>455</v>
      </c>
      <c r="D178" s="59"/>
      <c r="E178" s="59"/>
      <c r="G178" s="16">
        <v>53</v>
      </c>
    </row>
    <row r="179" spans="1:62" x14ac:dyDescent="0.2">
      <c r="A179" s="4" t="s">
        <v>64</v>
      </c>
      <c r="B179" s="4" t="s">
        <v>208</v>
      </c>
      <c r="C179" s="60" t="s">
        <v>456</v>
      </c>
      <c r="D179" s="61"/>
      <c r="E179" s="61"/>
      <c r="F179" s="4" t="s">
        <v>671</v>
      </c>
      <c r="G179" s="15">
        <v>2</v>
      </c>
      <c r="H179" s="15">
        <v>0</v>
      </c>
      <c r="I179" s="15">
        <f>G179*AO179</f>
        <v>0</v>
      </c>
      <c r="J179" s="15">
        <f>G179*AP179</f>
        <v>0</v>
      </c>
      <c r="K179" s="15">
        <f>G179*H179</f>
        <v>0</v>
      </c>
      <c r="L179" s="27" t="s">
        <v>690</v>
      </c>
      <c r="Z179" s="32">
        <f>IF(AQ179="5",BJ179,0)</f>
        <v>0</v>
      </c>
      <c r="AB179" s="32">
        <f>IF(AQ179="1",BH179,0)</f>
        <v>0</v>
      </c>
      <c r="AC179" s="32">
        <f>IF(AQ179="1",BI179,0)</f>
        <v>0</v>
      </c>
      <c r="AD179" s="32">
        <f>IF(AQ179="7",BH179,0)</f>
        <v>0</v>
      </c>
      <c r="AE179" s="32">
        <f>IF(AQ179="7",BI179,0)</f>
        <v>0</v>
      </c>
      <c r="AF179" s="32">
        <f>IF(AQ179="2",BH179,0)</f>
        <v>0</v>
      </c>
      <c r="AG179" s="32">
        <f>IF(AQ179="2",BI179,0)</f>
        <v>0</v>
      </c>
      <c r="AH179" s="32">
        <f>IF(AQ179="0",BJ179,0)</f>
        <v>0</v>
      </c>
      <c r="AI179" s="28"/>
      <c r="AJ179" s="15">
        <f>IF(AN179=0,K179,0)</f>
        <v>0</v>
      </c>
      <c r="AK179" s="15">
        <f>IF(AN179=15,K179,0)</f>
        <v>0</v>
      </c>
      <c r="AL179" s="15">
        <f>IF(AN179=21,K179,0)</f>
        <v>0</v>
      </c>
      <c r="AN179" s="32">
        <v>21</v>
      </c>
      <c r="AO179" s="32">
        <f>H179*0</f>
        <v>0</v>
      </c>
      <c r="AP179" s="32">
        <f>H179*(1-0)</f>
        <v>0</v>
      </c>
      <c r="AQ179" s="27" t="s">
        <v>13</v>
      </c>
      <c r="AV179" s="32">
        <f>AW179+AX179</f>
        <v>0</v>
      </c>
      <c r="AW179" s="32">
        <f>G179*AO179</f>
        <v>0</v>
      </c>
      <c r="AX179" s="32">
        <f>G179*AP179</f>
        <v>0</v>
      </c>
      <c r="AY179" s="33" t="s">
        <v>715</v>
      </c>
      <c r="AZ179" s="33" t="s">
        <v>735</v>
      </c>
      <c r="BA179" s="28" t="s">
        <v>739</v>
      </c>
      <c r="BC179" s="32">
        <f>AW179+AX179</f>
        <v>0</v>
      </c>
      <c r="BD179" s="32">
        <f>H179/(100-BE179)*100</f>
        <v>0</v>
      </c>
      <c r="BE179" s="32">
        <v>0</v>
      </c>
      <c r="BF179" s="32">
        <f>177</f>
        <v>177</v>
      </c>
      <c r="BH179" s="15">
        <f>G179*AO179</f>
        <v>0</v>
      </c>
      <c r="BI179" s="15">
        <f>G179*AP179</f>
        <v>0</v>
      </c>
      <c r="BJ179" s="15">
        <f>G179*H179</f>
        <v>0</v>
      </c>
    </row>
    <row r="180" spans="1:62" x14ac:dyDescent="0.2">
      <c r="C180" s="58" t="s">
        <v>457</v>
      </c>
      <c r="D180" s="59"/>
      <c r="E180" s="59"/>
      <c r="G180" s="16">
        <v>2</v>
      </c>
    </row>
    <row r="181" spans="1:62" x14ac:dyDescent="0.2">
      <c r="A181" s="4" t="s">
        <v>65</v>
      </c>
      <c r="B181" s="4" t="s">
        <v>209</v>
      </c>
      <c r="C181" s="60" t="s">
        <v>458</v>
      </c>
      <c r="D181" s="61"/>
      <c r="E181" s="61"/>
      <c r="F181" s="4" t="s">
        <v>671</v>
      </c>
      <c r="G181" s="15">
        <v>2</v>
      </c>
      <c r="H181" s="15">
        <v>0</v>
      </c>
      <c r="I181" s="15">
        <f>G181*AO181</f>
        <v>0</v>
      </c>
      <c r="J181" s="15">
        <f>G181*AP181</f>
        <v>0</v>
      </c>
      <c r="K181" s="15">
        <f>G181*H181</f>
        <v>0</v>
      </c>
      <c r="L181" s="27" t="s">
        <v>690</v>
      </c>
      <c r="Z181" s="32">
        <f>IF(AQ181="5",BJ181,0)</f>
        <v>0</v>
      </c>
      <c r="AB181" s="32">
        <f>IF(AQ181="1",BH181,0)</f>
        <v>0</v>
      </c>
      <c r="AC181" s="32">
        <f>IF(AQ181="1",BI181,0)</f>
        <v>0</v>
      </c>
      <c r="AD181" s="32">
        <f>IF(AQ181="7",BH181,0)</f>
        <v>0</v>
      </c>
      <c r="AE181" s="32">
        <f>IF(AQ181="7",BI181,0)</f>
        <v>0</v>
      </c>
      <c r="AF181" s="32">
        <f>IF(AQ181="2",BH181,0)</f>
        <v>0</v>
      </c>
      <c r="AG181" s="32">
        <f>IF(AQ181="2",BI181,0)</f>
        <v>0</v>
      </c>
      <c r="AH181" s="32">
        <f>IF(AQ181="0",BJ181,0)</f>
        <v>0</v>
      </c>
      <c r="AI181" s="28"/>
      <c r="AJ181" s="15">
        <f>IF(AN181=0,K181,0)</f>
        <v>0</v>
      </c>
      <c r="AK181" s="15">
        <f>IF(AN181=15,K181,0)</f>
        <v>0</v>
      </c>
      <c r="AL181" s="15">
        <f>IF(AN181=21,K181,0)</f>
        <v>0</v>
      </c>
      <c r="AN181" s="32">
        <v>21</v>
      </c>
      <c r="AO181" s="32">
        <f>H181*0.820918</f>
        <v>0</v>
      </c>
      <c r="AP181" s="32">
        <f>H181*(1-0.820918)</f>
        <v>0</v>
      </c>
      <c r="AQ181" s="27" t="s">
        <v>13</v>
      </c>
      <c r="AV181" s="32">
        <f>AW181+AX181</f>
        <v>0</v>
      </c>
      <c r="AW181" s="32">
        <f>G181*AO181</f>
        <v>0</v>
      </c>
      <c r="AX181" s="32">
        <f>G181*AP181</f>
        <v>0</v>
      </c>
      <c r="AY181" s="33" t="s">
        <v>715</v>
      </c>
      <c r="AZ181" s="33" t="s">
        <v>735</v>
      </c>
      <c r="BA181" s="28" t="s">
        <v>739</v>
      </c>
      <c r="BC181" s="32">
        <f>AW181+AX181</f>
        <v>0</v>
      </c>
      <c r="BD181" s="32">
        <f>H181/(100-BE181)*100</f>
        <v>0</v>
      </c>
      <c r="BE181" s="32">
        <v>0</v>
      </c>
      <c r="BF181" s="32">
        <f>179</f>
        <v>179</v>
      </c>
      <c r="BH181" s="15">
        <f>G181*AO181</f>
        <v>0</v>
      </c>
      <c r="BI181" s="15">
        <f>G181*AP181</f>
        <v>0</v>
      </c>
      <c r="BJ181" s="15">
        <f>G181*H181</f>
        <v>0</v>
      </c>
    </row>
    <row r="182" spans="1:62" x14ac:dyDescent="0.2">
      <c r="C182" s="58" t="s">
        <v>459</v>
      </c>
      <c r="D182" s="59"/>
      <c r="E182" s="59"/>
      <c r="G182" s="16">
        <v>2</v>
      </c>
    </row>
    <row r="183" spans="1:62" x14ac:dyDescent="0.2">
      <c r="A183" s="4" t="s">
        <v>66</v>
      </c>
      <c r="B183" s="4" t="s">
        <v>210</v>
      </c>
      <c r="C183" s="60" t="s">
        <v>460</v>
      </c>
      <c r="D183" s="61"/>
      <c r="E183" s="61"/>
      <c r="F183" s="4" t="s">
        <v>671</v>
      </c>
      <c r="G183" s="15">
        <v>53</v>
      </c>
      <c r="H183" s="15">
        <v>0</v>
      </c>
      <c r="I183" s="15">
        <f>G183*AO183</f>
        <v>0</v>
      </c>
      <c r="J183" s="15">
        <f>G183*AP183</f>
        <v>0</v>
      </c>
      <c r="K183" s="15">
        <f>G183*H183</f>
        <v>0</v>
      </c>
      <c r="L183" s="27" t="s">
        <v>690</v>
      </c>
      <c r="Z183" s="32">
        <f>IF(AQ183="5",BJ183,0)</f>
        <v>0</v>
      </c>
      <c r="AB183" s="32">
        <f>IF(AQ183="1",BH183,0)</f>
        <v>0</v>
      </c>
      <c r="AC183" s="32">
        <f>IF(AQ183="1",BI183,0)</f>
        <v>0</v>
      </c>
      <c r="AD183" s="32">
        <f>IF(AQ183="7",BH183,0)</f>
        <v>0</v>
      </c>
      <c r="AE183" s="32">
        <f>IF(AQ183="7",BI183,0)</f>
        <v>0</v>
      </c>
      <c r="AF183" s="32">
        <f>IF(AQ183="2",BH183,0)</f>
        <v>0</v>
      </c>
      <c r="AG183" s="32">
        <f>IF(AQ183="2",BI183,0)</f>
        <v>0</v>
      </c>
      <c r="AH183" s="32">
        <f>IF(AQ183="0",BJ183,0)</f>
        <v>0</v>
      </c>
      <c r="AI183" s="28"/>
      <c r="AJ183" s="15">
        <f>IF(AN183=0,K183,0)</f>
        <v>0</v>
      </c>
      <c r="AK183" s="15">
        <f>IF(AN183=15,K183,0)</f>
        <v>0</v>
      </c>
      <c r="AL183" s="15">
        <f>IF(AN183=21,K183,0)</f>
        <v>0</v>
      </c>
      <c r="AN183" s="32">
        <v>21</v>
      </c>
      <c r="AO183" s="32">
        <f>H183*0</f>
        <v>0</v>
      </c>
      <c r="AP183" s="32">
        <f>H183*(1-0)</f>
        <v>0</v>
      </c>
      <c r="AQ183" s="27" t="s">
        <v>13</v>
      </c>
      <c r="AV183" s="32">
        <f>AW183+AX183</f>
        <v>0</v>
      </c>
      <c r="AW183" s="32">
        <f>G183*AO183</f>
        <v>0</v>
      </c>
      <c r="AX183" s="32">
        <f>G183*AP183</f>
        <v>0</v>
      </c>
      <c r="AY183" s="33" t="s">
        <v>715</v>
      </c>
      <c r="AZ183" s="33" t="s">
        <v>735</v>
      </c>
      <c r="BA183" s="28" t="s">
        <v>739</v>
      </c>
      <c r="BC183" s="32">
        <f>AW183+AX183</f>
        <v>0</v>
      </c>
      <c r="BD183" s="32">
        <f>H183/(100-BE183)*100</f>
        <v>0</v>
      </c>
      <c r="BE183" s="32">
        <v>0</v>
      </c>
      <c r="BF183" s="32">
        <f>181</f>
        <v>181</v>
      </c>
      <c r="BH183" s="15">
        <f>G183*AO183</f>
        <v>0</v>
      </c>
      <c r="BI183" s="15">
        <f>G183*AP183</f>
        <v>0</v>
      </c>
      <c r="BJ183" s="15">
        <f>G183*H183</f>
        <v>0</v>
      </c>
    </row>
    <row r="184" spans="1:62" x14ac:dyDescent="0.2">
      <c r="C184" s="58" t="s">
        <v>461</v>
      </c>
      <c r="D184" s="59"/>
      <c r="E184" s="59"/>
      <c r="G184" s="16">
        <v>53</v>
      </c>
    </row>
    <row r="185" spans="1:62" x14ac:dyDescent="0.2">
      <c r="A185" s="6" t="s">
        <v>67</v>
      </c>
      <c r="B185" s="6" t="s">
        <v>211</v>
      </c>
      <c r="C185" s="68" t="s">
        <v>462</v>
      </c>
      <c r="D185" s="69"/>
      <c r="E185" s="69"/>
      <c r="F185" s="6" t="s">
        <v>671</v>
      </c>
      <c r="G185" s="17">
        <v>53</v>
      </c>
      <c r="H185" s="17">
        <v>0</v>
      </c>
      <c r="I185" s="17">
        <f>G185*AO185</f>
        <v>0</v>
      </c>
      <c r="J185" s="17">
        <f>G185*AP185</f>
        <v>0</v>
      </c>
      <c r="K185" s="17">
        <f>G185*H185</f>
        <v>0</v>
      </c>
      <c r="L185" s="29" t="s">
        <v>690</v>
      </c>
      <c r="Z185" s="32">
        <f>IF(AQ185="5",BJ185,0)</f>
        <v>0</v>
      </c>
      <c r="AB185" s="32">
        <f>IF(AQ185="1",BH185,0)</f>
        <v>0</v>
      </c>
      <c r="AC185" s="32">
        <f>IF(AQ185="1",BI185,0)</f>
        <v>0</v>
      </c>
      <c r="AD185" s="32">
        <f>IF(AQ185="7",BH185,0)</f>
        <v>0</v>
      </c>
      <c r="AE185" s="32">
        <f>IF(AQ185="7",BI185,0)</f>
        <v>0</v>
      </c>
      <c r="AF185" s="32">
        <f>IF(AQ185="2",BH185,0)</f>
        <v>0</v>
      </c>
      <c r="AG185" s="32">
        <f>IF(AQ185="2",BI185,0)</f>
        <v>0</v>
      </c>
      <c r="AH185" s="32">
        <f>IF(AQ185="0",BJ185,0)</f>
        <v>0</v>
      </c>
      <c r="AI185" s="28"/>
      <c r="AJ185" s="17">
        <f>IF(AN185=0,K185,0)</f>
        <v>0</v>
      </c>
      <c r="AK185" s="17">
        <f>IF(AN185=15,K185,0)</f>
        <v>0</v>
      </c>
      <c r="AL185" s="17">
        <f>IF(AN185=21,K185,0)</f>
        <v>0</v>
      </c>
      <c r="AN185" s="32">
        <v>21</v>
      </c>
      <c r="AO185" s="32">
        <f>H185*1</f>
        <v>0</v>
      </c>
      <c r="AP185" s="32">
        <f>H185*(1-1)</f>
        <v>0</v>
      </c>
      <c r="AQ185" s="29" t="s">
        <v>13</v>
      </c>
      <c r="AV185" s="32">
        <f>AW185+AX185</f>
        <v>0</v>
      </c>
      <c r="AW185" s="32">
        <f>G185*AO185</f>
        <v>0</v>
      </c>
      <c r="AX185" s="32">
        <f>G185*AP185</f>
        <v>0</v>
      </c>
      <c r="AY185" s="33" t="s">
        <v>715</v>
      </c>
      <c r="AZ185" s="33" t="s">
        <v>735</v>
      </c>
      <c r="BA185" s="28" t="s">
        <v>739</v>
      </c>
      <c r="BC185" s="32">
        <f>AW185+AX185</f>
        <v>0</v>
      </c>
      <c r="BD185" s="32">
        <f>H185/(100-BE185)*100</f>
        <v>0</v>
      </c>
      <c r="BE185" s="32">
        <v>0</v>
      </c>
      <c r="BF185" s="32">
        <f>183</f>
        <v>183</v>
      </c>
      <c r="BH185" s="17">
        <f>G185*AO185</f>
        <v>0</v>
      </c>
      <c r="BI185" s="17">
        <f>G185*AP185</f>
        <v>0</v>
      </c>
      <c r="BJ185" s="17">
        <f>G185*H185</f>
        <v>0</v>
      </c>
    </row>
    <row r="186" spans="1:62" x14ac:dyDescent="0.2">
      <c r="C186" s="58" t="s">
        <v>461</v>
      </c>
      <c r="D186" s="59"/>
      <c r="E186" s="59"/>
      <c r="G186" s="16">
        <v>53</v>
      </c>
    </row>
    <row r="187" spans="1:62" x14ac:dyDescent="0.2">
      <c r="A187" s="4" t="s">
        <v>68</v>
      </c>
      <c r="B187" s="4" t="s">
        <v>212</v>
      </c>
      <c r="C187" s="60" t="s">
        <v>463</v>
      </c>
      <c r="D187" s="61"/>
      <c r="E187" s="61"/>
      <c r="F187" s="4" t="s">
        <v>672</v>
      </c>
      <c r="G187" s="15">
        <v>2.7779999999999999E-2</v>
      </c>
      <c r="H187" s="15">
        <v>0</v>
      </c>
      <c r="I187" s="15">
        <f>G187*AO187</f>
        <v>0</v>
      </c>
      <c r="J187" s="15">
        <f>G187*AP187</f>
        <v>0</v>
      </c>
      <c r="K187" s="15">
        <f>G187*H187</f>
        <v>0</v>
      </c>
      <c r="L187" s="27" t="s">
        <v>690</v>
      </c>
      <c r="Z187" s="32">
        <f>IF(AQ187="5",BJ187,0)</f>
        <v>0</v>
      </c>
      <c r="AB187" s="32">
        <f>IF(AQ187="1",BH187,0)</f>
        <v>0</v>
      </c>
      <c r="AC187" s="32">
        <f>IF(AQ187="1",BI187,0)</f>
        <v>0</v>
      </c>
      <c r="AD187" s="32">
        <f>IF(AQ187="7",BH187,0)</f>
        <v>0</v>
      </c>
      <c r="AE187" s="32">
        <f>IF(AQ187="7",BI187,0)</f>
        <v>0</v>
      </c>
      <c r="AF187" s="32">
        <f>IF(AQ187="2",BH187,0)</f>
        <v>0</v>
      </c>
      <c r="AG187" s="32">
        <f>IF(AQ187="2",BI187,0)</f>
        <v>0</v>
      </c>
      <c r="AH187" s="32">
        <f>IF(AQ187="0",BJ187,0)</f>
        <v>0</v>
      </c>
      <c r="AI187" s="28"/>
      <c r="AJ187" s="15">
        <f>IF(AN187=0,K187,0)</f>
        <v>0</v>
      </c>
      <c r="AK187" s="15">
        <f>IF(AN187=15,K187,0)</f>
        <v>0</v>
      </c>
      <c r="AL187" s="15">
        <f>IF(AN187=21,K187,0)</f>
        <v>0</v>
      </c>
      <c r="AN187" s="32">
        <v>21</v>
      </c>
      <c r="AO187" s="32">
        <f>H187*0</f>
        <v>0</v>
      </c>
      <c r="AP187" s="32">
        <f>H187*(1-0)</f>
        <v>0</v>
      </c>
      <c r="AQ187" s="27" t="s">
        <v>11</v>
      </c>
      <c r="AV187" s="32">
        <f>AW187+AX187</f>
        <v>0</v>
      </c>
      <c r="AW187" s="32">
        <f>G187*AO187</f>
        <v>0</v>
      </c>
      <c r="AX187" s="32">
        <f>G187*AP187</f>
        <v>0</v>
      </c>
      <c r="AY187" s="33" t="s">
        <v>715</v>
      </c>
      <c r="AZ187" s="33" t="s">
        <v>735</v>
      </c>
      <c r="BA187" s="28" t="s">
        <v>739</v>
      </c>
      <c r="BC187" s="32">
        <f>AW187+AX187</f>
        <v>0</v>
      </c>
      <c r="BD187" s="32">
        <f>H187/(100-BE187)*100</f>
        <v>0</v>
      </c>
      <c r="BE187" s="32">
        <v>0</v>
      </c>
      <c r="BF187" s="32">
        <f>185</f>
        <v>185</v>
      </c>
      <c r="BH187" s="15">
        <f>G187*AO187</f>
        <v>0</v>
      </c>
      <c r="BI187" s="15">
        <f>G187*AP187</f>
        <v>0</v>
      </c>
      <c r="BJ187" s="15">
        <f>G187*H187</f>
        <v>0</v>
      </c>
    </row>
    <row r="188" spans="1:62" x14ac:dyDescent="0.2">
      <c r="C188" s="58" t="s">
        <v>464</v>
      </c>
      <c r="D188" s="59"/>
      <c r="E188" s="59"/>
      <c r="G188" s="16">
        <v>2.7779999999999999E-2</v>
      </c>
    </row>
    <row r="189" spans="1:62" x14ac:dyDescent="0.2">
      <c r="A189" s="5"/>
      <c r="B189" s="13" t="s">
        <v>213</v>
      </c>
      <c r="C189" s="66" t="s">
        <v>465</v>
      </c>
      <c r="D189" s="67"/>
      <c r="E189" s="67"/>
      <c r="F189" s="5" t="s">
        <v>6</v>
      </c>
      <c r="G189" s="5" t="s">
        <v>6</v>
      </c>
      <c r="H189" s="5" t="s">
        <v>6</v>
      </c>
      <c r="I189" s="35">
        <f>SUM(I190:I197)</f>
        <v>0</v>
      </c>
      <c r="J189" s="35">
        <f>SUM(J190:J197)</f>
        <v>0</v>
      </c>
      <c r="K189" s="35">
        <f>SUM(K190:K197)</f>
        <v>0</v>
      </c>
      <c r="L189" s="28"/>
      <c r="AI189" s="28"/>
      <c r="AS189" s="35">
        <f>SUM(AJ190:AJ197)</f>
        <v>0</v>
      </c>
      <c r="AT189" s="35">
        <f>SUM(AK190:AK197)</f>
        <v>0</v>
      </c>
      <c r="AU189" s="35">
        <f>SUM(AL190:AL197)</f>
        <v>0</v>
      </c>
    </row>
    <row r="190" spans="1:62" x14ac:dyDescent="0.2">
      <c r="A190" s="4" t="s">
        <v>69</v>
      </c>
      <c r="B190" s="4" t="s">
        <v>214</v>
      </c>
      <c r="C190" s="60" t="s">
        <v>466</v>
      </c>
      <c r="D190" s="61"/>
      <c r="E190" s="61"/>
      <c r="F190" s="4" t="s">
        <v>667</v>
      </c>
      <c r="G190" s="15">
        <v>1053</v>
      </c>
      <c r="H190" s="15">
        <v>0</v>
      </c>
      <c r="I190" s="15">
        <f>G190*AO190</f>
        <v>0</v>
      </c>
      <c r="J190" s="15">
        <f>G190*AP190</f>
        <v>0</v>
      </c>
      <c r="K190" s="15">
        <f>G190*H190</f>
        <v>0</v>
      </c>
      <c r="L190" s="27" t="s">
        <v>691</v>
      </c>
      <c r="Z190" s="32">
        <f>IF(AQ190="5",BJ190,0)</f>
        <v>0</v>
      </c>
      <c r="AB190" s="32">
        <f>IF(AQ190="1",BH190,0)</f>
        <v>0</v>
      </c>
      <c r="AC190" s="32">
        <f>IF(AQ190="1",BI190,0)</f>
        <v>0</v>
      </c>
      <c r="AD190" s="32">
        <f>IF(AQ190="7",BH190,0)</f>
        <v>0</v>
      </c>
      <c r="AE190" s="32">
        <f>IF(AQ190="7",BI190,0)</f>
        <v>0</v>
      </c>
      <c r="AF190" s="32">
        <f>IF(AQ190="2",BH190,0)</f>
        <v>0</v>
      </c>
      <c r="AG190" s="32">
        <f>IF(AQ190="2",BI190,0)</f>
        <v>0</v>
      </c>
      <c r="AH190" s="32">
        <f>IF(AQ190="0",BJ190,0)</f>
        <v>0</v>
      </c>
      <c r="AI190" s="28"/>
      <c r="AJ190" s="15">
        <f>IF(AN190=0,K190,0)</f>
        <v>0</v>
      </c>
      <c r="AK190" s="15">
        <f>IF(AN190=15,K190,0)</f>
        <v>0</v>
      </c>
      <c r="AL190" s="15">
        <f>IF(AN190=21,K190,0)</f>
        <v>0</v>
      </c>
      <c r="AN190" s="32">
        <v>21</v>
      </c>
      <c r="AO190" s="32">
        <f>H190*0.026806091539068</f>
        <v>0</v>
      </c>
      <c r="AP190" s="32">
        <f>H190*(1-0.026806091539068)</f>
        <v>0</v>
      </c>
      <c r="AQ190" s="27" t="s">
        <v>13</v>
      </c>
      <c r="AV190" s="32">
        <f>AW190+AX190</f>
        <v>0</v>
      </c>
      <c r="AW190" s="32">
        <f>G190*AO190</f>
        <v>0</v>
      </c>
      <c r="AX190" s="32">
        <f>G190*AP190</f>
        <v>0</v>
      </c>
      <c r="AY190" s="33" t="s">
        <v>716</v>
      </c>
      <c r="AZ190" s="33" t="s">
        <v>736</v>
      </c>
      <c r="BA190" s="28" t="s">
        <v>739</v>
      </c>
      <c r="BC190" s="32">
        <f>AW190+AX190</f>
        <v>0</v>
      </c>
      <c r="BD190" s="32">
        <f>H190/(100-BE190)*100</f>
        <v>0</v>
      </c>
      <c r="BE190" s="32">
        <v>0</v>
      </c>
      <c r="BF190" s="32">
        <f>188</f>
        <v>188</v>
      </c>
      <c r="BH190" s="15">
        <f>G190*AO190</f>
        <v>0</v>
      </c>
      <c r="BI190" s="15">
        <f>G190*AP190</f>
        <v>0</v>
      </c>
      <c r="BJ190" s="15">
        <f>G190*H190</f>
        <v>0</v>
      </c>
    </row>
    <row r="191" spans="1:62" x14ac:dyDescent="0.2">
      <c r="C191" s="58" t="s">
        <v>440</v>
      </c>
      <c r="D191" s="59"/>
      <c r="E191" s="59"/>
      <c r="G191" s="16">
        <v>1053</v>
      </c>
    </row>
    <row r="192" spans="1:62" x14ac:dyDescent="0.2">
      <c r="A192" s="6" t="s">
        <v>70</v>
      </c>
      <c r="B192" s="6" t="s">
        <v>215</v>
      </c>
      <c r="C192" s="68" t="s">
        <v>467</v>
      </c>
      <c r="D192" s="69"/>
      <c r="E192" s="69"/>
      <c r="F192" s="6" t="s">
        <v>667</v>
      </c>
      <c r="G192" s="17">
        <v>1137.24</v>
      </c>
      <c r="H192" s="17">
        <v>0</v>
      </c>
      <c r="I192" s="17">
        <f>G192*AO192</f>
        <v>0</v>
      </c>
      <c r="J192" s="17">
        <f>G192*AP192</f>
        <v>0</v>
      </c>
      <c r="K192" s="17">
        <f>G192*H192</f>
        <v>0</v>
      </c>
      <c r="L192" s="29" t="s">
        <v>691</v>
      </c>
      <c r="Z192" s="32">
        <f>IF(AQ192="5",BJ192,0)</f>
        <v>0</v>
      </c>
      <c r="AB192" s="32">
        <f>IF(AQ192="1",BH192,0)</f>
        <v>0</v>
      </c>
      <c r="AC192" s="32">
        <f>IF(AQ192="1",BI192,0)</f>
        <v>0</v>
      </c>
      <c r="AD192" s="32">
        <f>IF(AQ192="7",BH192,0)</f>
        <v>0</v>
      </c>
      <c r="AE192" s="32">
        <f>IF(AQ192="7",BI192,0)</f>
        <v>0</v>
      </c>
      <c r="AF192" s="32">
        <f>IF(AQ192="2",BH192,0)</f>
        <v>0</v>
      </c>
      <c r="AG192" s="32">
        <f>IF(AQ192="2",BI192,0)</f>
        <v>0</v>
      </c>
      <c r="AH192" s="32">
        <f>IF(AQ192="0",BJ192,0)</f>
        <v>0</v>
      </c>
      <c r="AI192" s="28"/>
      <c r="AJ192" s="17">
        <f>IF(AN192=0,K192,0)</f>
        <v>0</v>
      </c>
      <c r="AK192" s="17">
        <f>IF(AN192=15,K192,0)</f>
        <v>0</v>
      </c>
      <c r="AL192" s="17">
        <f>IF(AN192=21,K192,0)</f>
        <v>0</v>
      </c>
      <c r="AN192" s="32">
        <v>21</v>
      </c>
      <c r="AO192" s="32">
        <f>H192*1</f>
        <v>0</v>
      </c>
      <c r="AP192" s="32">
        <f>H192*(1-1)</f>
        <v>0</v>
      </c>
      <c r="AQ192" s="29" t="s">
        <v>13</v>
      </c>
      <c r="AV192" s="32">
        <f>AW192+AX192</f>
        <v>0</v>
      </c>
      <c r="AW192" s="32">
        <f>G192*AO192</f>
        <v>0</v>
      </c>
      <c r="AX192" s="32">
        <f>G192*AP192</f>
        <v>0</v>
      </c>
      <c r="AY192" s="33" t="s">
        <v>716</v>
      </c>
      <c r="AZ192" s="33" t="s">
        <v>736</v>
      </c>
      <c r="BA192" s="28" t="s">
        <v>739</v>
      </c>
      <c r="BC192" s="32">
        <f>AW192+AX192</f>
        <v>0</v>
      </c>
      <c r="BD192" s="32">
        <f>H192/(100-BE192)*100</f>
        <v>0</v>
      </c>
      <c r="BE192" s="32">
        <v>0</v>
      </c>
      <c r="BF192" s="32">
        <f>190</f>
        <v>190</v>
      </c>
      <c r="BH192" s="17">
        <f>G192*AO192</f>
        <v>0</v>
      </c>
      <c r="BI192" s="17">
        <f>G192*AP192</f>
        <v>0</v>
      </c>
      <c r="BJ192" s="17">
        <f>G192*H192</f>
        <v>0</v>
      </c>
    </row>
    <row r="193" spans="1:62" x14ac:dyDescent="0.2">
      <c r="C193" s="58" t="s">
        <v>440</v>
      </c>
      <c r="D193" s="59"/>
      <c r="E193" s="59"/>
      <c r="G193" s="16">
        <v>1053</v>
      </c>
    </row>
    <row r="194" spans="1:62" x14ac:dyDescent="0.2">
      <c r="C194" s="58" t="s">
        <v>468</v>
      </c>
      <c r="D194" s="59"/>
      <c r="E194" s="59"/>
      <c r="G194" s="16">
        <v>84.24</v>
      </c>
    </row>
    <row r="195" spans="1:62" x14ac:dyDescent="0.2">
      <c r="A195" s="4" t="s">
        <v>71</v>
      </c>
      <c r="B195" s="4" t="s">
        <v>216</v>
      </c>
      <c r="C195" s="60" t="s">
        <v>469</v>
      </c>
      <c r="D195" s="61"/>
      <c r="E195" s="61"/>
      <c r="F195" s="4" t="s">
        <v>667</v>
      </c>
      <c r="G195" s="15">
        <v>1137.24</v>
      </c>
      <c r="H195" s="15">
        <v>0</v>
      </c>
      <c r="I195" s="15">
        <f>G195*AO195</f>
        <v>0</v>
      </c>
      <c r="J195" s="15">
        <f>G195*AP195</f>
        <v>0</v>
      </c>
      <c r="K195" s="15">
        <f>G195*H195</f>
        <v>0</v>
      </c>
      <c r="L195" s="27" t="s">
        <v>691</v>
      </c>
      <c r="Z195" s="32">
        <f>IF(AQ195="5",BJ195,0)</f>
        <v>0</v>
      </c>
      <c r="AB195" s="32">
        <f>IF(AQ195="1",BH195,0)</f>
        <v>0</v>
      </c>
      <c r="AC195" s="32">
        <f>IF(AQ195="1",BI195,0)</f>
        <v>0</v>
      </c>
      <c r="AD195" s="32">
        <f>IF(AQ195="7",BH195,0)</f>
        <v>0</v>
      </c>
      <c r="AE195" s="32">
        <f>IF(AQ195="7",BI195,0)</f>
        <v>0</v>
      </c>
      <c r="AF195" s="32">
        <f>IF(AQ195="2",BH195,0)</f>
        <v>0</v>
      </c>
      <c r="AG195" s="32">
        <f>IF(AQ195="2",BI195,0)</f>
        <v>0</v>
      </c>
      <c r="AH195" s="32">
        <f>IF(AQ195="0",BJ195,0)</f>
        <v>0</v>
      </c>
      <c r="AI195" s="28"/>
      <c r="AJ195" s="15">
        <f>IF(AN195=0,K195,0)</f>
        <v>0</v>
      </c>
      <c r="AK195" s="15">
        <f>IF(AN195=15,K195,0)</f>
        <v>0</v>
      </c>
      <c r="AL195" s="15">
        <f>IF(AN195=21,K195,0)</f>
        <v>0</v>
      </c>
      <c r="AN195" s="32">
        <v>21</v>
      </c>
      <c r="AO195" s="32">
        <f>H195*0.286421467276155</f>
        <v>0</v>
      </c>
      <c r="AP195" s="32">
        <f>H195*(1-0.286421467276155)</f>
        <v>0</v>
      </c>
      <c r="AQ195" s="27" t="s">
        <v>13</v>
      </c>
      <c r="AV195" s="32">
        <f>AW195+AX195</f>
        <v>0</v>
      </c>
      <c r="AW195" s="32">
        <f>G195*AO195</f>
        <v>0</v>
      </c>
      <c r="AX195" s="32">
        <f>G195*AP195</f>
        <v>0</v>
      </c>
      <c r="AY195" s="33" t="s">
        <v>716</v>
      </c>
      <c r="AZ195" s="33" t="s">
        <v>736</v>
      </c>
      <c r="BA195" s="28" t="s">
        <v>739</v>
      </c>
      <c r="BC195" s="32">
        <f>AW195+AX195</f>
        <v>0</v>
      </c>
      <c r="BD195" s="32">
        <f>H195/(100-BE195)*100</f>
        <v>0</v>
      </c>
      <c r="BE195" s="32">
        <v>0</v>
      </c>
      <c r="BF195" s="32">
        <f>193</f>
        <v>193</v>
      </c>
      <c r="BH195" s="15">
        <f>G195*AO195</f>
        <v>0</v>
      </c>
      <c r="BI195" s="15">
        <f>G195*AP195</f>
        <v>0</v>
      </c>
      <c r="BJ195" s="15">
        <f>G195*H195</f>
        <v>0</v>
      </c>
    </row>
    <row r="196" spans="1:62" x14ac:dyDescent="0.2">
      <c r="C196" s="58" t="s">
        <v>470</v>
      </c>
      <c r="D196" s="59"/>
      <c r="E196" s="59"/>
      <c r="G196" s="16">
        <v>1137.24</v>
      </c>
    </row>
    <row r="197" spans="1:62" x14ac:dyDescent="0.2">
      <c r="A197" s="4" t="s">
        <v>72</v>
      </c>
      <c r="B197" s="4" t="s">
        <v>217</v>
      </c>
      <c r="C197" s="60" t="s">
        <v>471</v>
      </c>
      <c r="D197" s="61"/>
      <c r="E197" s="61"/>
      <c r="F197" s="4" t="s">
        <v>672</v>
      </c>
      <c r="G197" s="15">
        <v>21.644629999999999</v>
      </c>
      <c r="H197" s="15">
        <v>0</v>
      </c>
      <c r="I197" s="15">
        <f>G197*AO197</f>
        <v>0</v>
      </c>
      <c r="J197" s="15">
        <f>G197*AP197</f>
        <v>0</v>
      </c>
      <c r="K197" s="15">
        <f>G197*H197</f>
        <v>0</v>
      </c>
      <c r="L197" s="27" t="s">
        <v>691</v>
      </c>
      <c r="Z197" s="32">
        <f>IF(AQ197="5",BJ197,0)</f>
        <v>0</v>
      </c>
      <c r="AB197" s="32">
        <f>IF(AQ197="1",BH197,0)</f>
        <v>0</v>
      </c>
      <c r="AC197" s="32">
        <f>IF(AQ197="1",BI197,0)</f>
        <v>0</v>
      </c>
      <c r="AD197" s="32">
        <f>IF(AQ197="7",BH197,0)</f>
        <v>0</v>
      </c>
      <c r="AE197" s="32">
        <f>IF(AQ197="7",BI197,0)</f>
        <v>0</v>
      </c>
      <c r="AF197" s="32">
        <f>IF(AQ197="2",BH197,0)</f>
        <v>0</v>
      </c>
      <c r="AG197" s="32">
        <f>IF(AQ197="2",BI197,0)</f>
        <v>0</v>
      </c>
      <c r="AH197" s="32">
        <f>IF(AQ197="0",BJ197,0)</f>
        <v>0</v>
      </c>
      <c r="AI197" s="28"/>
      <c r="AJ197" s="15">
        <f>IF(AN197=0,K197,0)</f>
        <v>0</v>
      </c>
      <c r="AK197" s="15">
        <f>IF(AN197=15,K197,0)</f>
        <v>0</v>
      </c>
      <c r="AL197" s="15">
        <f>IF(AN197=21,K197,0)</f>
        <v>0</v>
      </c>
      <c r="AN197" s="32">
        <v>21</v>
      </c>
      <c r="AO197" s="32">
        <f>H197*0</f>
        <v>0</v>
      </c>
      <c r="AP197" s="32">
        <f>H197*(1-0)</f>
        <v>0</v>
      </c>
      <c r="AQ197" s="27" t="s">
        <v>11</v>
      </c>
      <c r="AV197" s="32">
        <f>AW197+AX197</f>
        <v>0</v>
      </c>
      <c r="AW197" s="32">
        <f>G197*AO197</f>
        <v>0</v>
      </c>
      <c r="AX197" s="32">
        <f>G197*AP197</f>
        <v>0</v>
      </c>
      <c r="AY197" s="33" t="s">
        <v>716</v>
      </c>
      <c r="AZ197" s="33" t="s">
        <v>736</v>
      </c>
      <c r="BA197" s="28" t="s">
        <v>739</v>
      </c>
      <c r="BC197" s="32">
        <f>AW197+AX197</f>
        <v>0</v>
      </c>
      <c r="BD197" s="32">
        <f>H197/(100-BE197)*100</f>
        <v>0</v>
      </c>
      <c r="BE197" s="32">
        <v>0</v>
      </c>
      <c r="BF197" s="32">
        <f>195</f>
        <v>195</v>
      </c>
      <c r="BH197" s="15">
        <f>G197*AO197</f>
        <v>0</v>
      </c>
      <c r="BI197" s="15">
        <f>G197*AP197</f>
        <v>0</v>
      </c>
      <c r="BJ197" s="15">
        <f>G197*H197</f>
        <v>0</v>
      </c>
    </row>
    <row r="198" spans="1:62" x14ac:dyDescent="0.2">
      <c r="C198" s="58" t="s">
        <v>472</v>
      </c>
      <c r="D198" s="59"/>
      <c r="E198" s="59"/>
      <c r="G198" s="16">
        <v>21.644629999999999</v>
      </c>
    </row>
    <row r="199" spans="1:62" x14ac:dyDescent="0.2">
      <c r="A199" s="5"/>
      <c r="B199" s="13" t="s">
        <v>218</v>
      </c>
      <c r="C199" s="66" t="s">
        <v>473</v>
      </c>
      <c r="D199" s="67"/>
      <c r="E199" s="67"/>
      <c r="F199" s="5" t="s">
        <v>6</v>
      </c>
      <c r="G199" s="5" t="s">
        <v>6</v>
      </c>
      <c r="H199" s="5" t="s">
        <v>6</v>
      </c>
      <c r="I199" s="35">
        <f>SUM(I200:I204)</f>
        <v>0</v>
      </c>
      <c r="J199" s="35">
        <f>SUM(J200:J204)</f>
        <v>0</v>
      </c>
      <c r="K199" s="35">
        <f>SUM(K200:K204)</f>
        <v>0</v>
      </c>
      <c r="L199" s="28"/>
      <c r="AI199" s="28"/>
      <c r="AS199" s="35">
        <f>SUM(AJ200:AJ204)</f>
        <v>0</v>
      </c>
      <c r="AT199" s="35">
        <f>SUM(AK200:AK204)</f>
        <v>0</v>
      </c>
      <c r="AU199" s="35">
        <f>SUM(AL200:AL204)</f>
        <v>0</v>
      </c>
    </row>
    <row r="200" spans="1:62" x14ac:dyDescent="0.2">
      <c r="A200" s="4" t="s">
        <v>73</v>
      </c>
      <c r="B200" s="4" t="s">
        <v>219</v>
      </c>
      <c r="C200" s="60" t="s">
        <v>474</v>
      </c>
      <c r="D200" s="61"/>
      <c r="E200" s="61"/>
      <c r="F200" s="4" t="s">
        <v>667</v>
      </c>
      <c r="G200" s="15">
        <v>68.2</v>
      </c>
      <c r="H200" s="15">
        <v>0</v>
      </c>
      <c r="I200" s="15">
        <f>G200*AO200</f>
        <v>0</v>
      </c>
      <c r="J200" s="15">
        <f>G200*AP200</f>
        <v>0</v>
      </c>
      <c r="K200" s="15">
        <f>G200*H200</f>
        <v>0</v>
      </c>
      <c r="L200" s="27" t="s">
        <v>690</v>
      </c>
      <c r="Z200" s="32">
        <f>IF(AQ200="5",BJ200,0)</f>
        <v>0</v>
      </c>
      <c r="AB200" s="32">
        <f>IF(AQ200="1",BH200,0)</f>
        <v>0</v>
      </c>
      <c r="AC200" s="32">
        <f>IF(AQ200="1",BI200,0)</f>
        <v>0</v>
      </c>
      <c r="AD200" s="32">
        <f>IF(AQ200="7",BH200,0)</f>
        <v>0</v>
      </c>
      <c r="AE200" s="32">
        <f>IF(AQ200="7",BI200,0)</f>
        <v>0</v>
      </c>
      <c r="AF200" s="32">
        <f>IF(AQ200="2",BH200,0)</f>
        <v>0</v>
      </c>
      <c r="AG200" s="32">
        <f>IF(AQ200="2",BI200,0)</f>
        <v>0</v>
      </c>
      <c r="AH200" s="32">
        <f>IF(AQ200="0",BJ200,0)</f>
        <v>0</v>
      </c>
      <c r="AI200" s="28"/>
      <c r="AJ200" s="15">
        <f>IF(AN200=0,K200,0)</f>
        <v>0</v>
      </c>
      <c r="AK200" s="15">
        <f>IF(AN200=15,K200,0)</f>
        <v>0</v>
      </c>
      <c r="AL200" s="15">
        <f>IF(AN200=21,K200,0)</f>
        <v>0</v>
      </c>
      <c r="AN200" s="32">
        <v>21</v>
      </c>
      <c r="AO200" s="32">
        <f>H200*0.00829090909090909</f>
        <v>0</v>
      </c>
      <c r="AP200" s="32">
        <f>H200*(1-0.00829090909090909)</f>
        <v>0</v>
      </c>
      <c r="AQ200" s="27" t="s">
        <v>13</v>
      </c>
      <c r="AV200" s="32">
        <f>AW200+AX200</f>
        <v>0</v>
      </c>
      <c r="AW200" s="32">
        <f>G200*AO200</f>
        <v>0</v>
      </c>
      <c r="AX200" s="32">
        <f>G200*AP200</f>
        <v>0</v>
      </c>
      <c r="AY200" s="33" t="s">
        <v>717</v>
      </c>
      <c r="AZ200" s="33" t="s">
        <v>736</v>
      </c>
      <c r="BA200" s="28" t="s">
        <v>739</v>
      </c>
      <c r="BC200" s="32">
        <f>AW200+AX200</f>
        <v>0</v>
      </c>
      <c r="BD200" s="32">
        <f>H200/(100-BE200)*100</f>
        <v>0</v>
      </c>
      <c r="BE200" s="32">
        <v>0</v>
      </c>
      <c r="BF200" s="32">
        <f>198</f>
        <v>198</v>
      </c>
      <c r="BH200" s="15">
        <f>G200*AO200</f>
        <v>0</v>
      </c>
      <c r="BI200" s="15">
        <f>G200*AP200</f>
        <v>0</v>
      </c>
      <c r="BJ200" s="15">
        <f>G200*H200</f>
        <v>0</v>
      </c>
    </row>
    <row r="201" spans="1:62" x14ac:dyDescent="0.2">
      <c r="C201" s="58" t="s">
        <v>475</v>
      </c>
      <c r="D201" s="59"/>
      <c r="E201" s="59"/>
      <c r="G201" s="16">
        <v>68.2</v>
      </c>
    </row>
    <row r="202" spans="1:62" x14ac:dyDescent="0.2">
      <c r="A202" s="6" t="s">
        <v>74</v>
      </c>
      <c r="B202" s="6" t="s">
        <v>220</v>
      </c>
      <c r="C202" s="68" t="s">
        <v>476</v>
      </c>
      <c r="D202" s="69"/>
      <c r="E202" s="69"/>
      <c r="F202" s="6" t="s">
        <v>667</v>
      </c>
      <c r="G202" s="17">
        <v>75.02</v>
      </c>
      <c r="H202" s="17">
        <v>0</v>
      </c>
      <c r="I202" s="17">
        <f>G202*AO202</f>
        <v>0</v>
      </c>
      <c r="J202" s="17">
        <f>G202*AP202</f>
        <v>0</v>
      </c>
      <c r="K202" s="17">
        <f>G202*H202</f>
        <v>0</v>
      </c>
      <c r="L202" s="29" t="s">
        <v>690</v>
      </c>
      <c r="Z202" s="32">
        <f>IF(AQ202="5",BJ202,0)</f>
        <v>0</v>
      </c>
      <c r="AB202" s="32">
        <f>IF(AQ202="1",BH202,0)</f>
        <v>0</v>
      </c>
      <c r="AC202" s="32">
        <f>IF(AQ202="1",BI202,0)</f>
        <v>0</v>
      </c>
      <c r="AD202" s="32">
        <f>IF(AQ202="7",BH202,0)</f>
        <v>0</v>
      </c>
      <c r="AE202" s="32">
        <f>IF(AQ202="7",BI202,0)</f>
        <v>0</v>
      </c>
      <c r="AF202" s="32">
        <f>IF(AQ202="2",BH202,0)</f>
        <v>0</v>
      </c>
      <c r="AG202" s="32">
        <f>IF(AQ202="2",BI202,0)</f>
        <v>0</v>
      </c>
      <c r="AH202" s="32">
        <f>IF(AQ202="0",BJ202,0)</f>
        <v>0</v>
      </c>
      <c r="AI202" s="28"/>
      <c r="AJ202" s="17">
        <f>IF(AN202=0,K202,0)</f>
        <v>0</v>
      </c>
      <c r="AK202" s="17">
        <f>IF(AN202=15,K202,0)</f>
        <v>0</v>
      </c>
      <c r="AL202" s="17">
        <f>IF(AN202=21,K202,0)</f>
        <v>0</v>
      </c>
      <c r="AN202" s="32">
        <v>21</v>
      </c>
      <c r="AO202" s="32">
        <f>H202*1</f>
        <v>0</v>
      </c>
      <c r="AP202" s="32">
        <f>H202*(1-1)</f>
        <v>0</v>
      </c>
      <c r="AQ202" s="29" t="s">
        <v>13</v>
      </c>
      <c r="AV202" s="32">
        <f>AW202+AX202</f>
        <v>0</v>
      </c>
      <c r="AW202" s="32">
        <f>G202*AO202</f>
        <v>0</v>
      </c>
      <c r="AX202" s="32">
        <f>G202*AP202</f>
        <v>0</v>
      </c>
      <c r="AY202" s="33" t="s">
        <v>717</v>
      </c>
      <c r="AZ202" s="33" t="s">
        <v>736</v>
      </c>
      <c r="BA202" s="28" t="s">
        <v>739</v>
      </c>
      <c r="BC202" s="32">
        <f>AW202+AX202</f>
        <v>0</v>
      </c>
      <c r="BD202" s="32">
        <f>H202/(100-BE202)*100</f>
        <v>0</v>
      </c>
      <c r="BE202" s="32">
        <v>0</v>
      </c>
      <c r="BF202" s="32">
        <f>200</f>
        <v>200</v>
      </c>
      <c r="BH202" s="17">
        <f>G202*AO202</f>
        <v>0</v>
      </c>
      <c r="BI202" s="17">
        <f>G202*AP202</f>
        <v>0</v>
      </c>
      <c r="BJ202" s="17">
        <f>G202*H202</f>
        <v>0</v>
      </c>
    </row>
    <row r="203" spans="1:62" x14ac:dyDescent="0.2">
      <c r="C203" s="58" t="s">
        <v>477</v>
      </c>
      <c r="D203" s="59"/>
      <c r="E203" s="59"/>
      <c r="G203" s="16">
        <v>75.02</v>
      </c>
    </row>
    <row r="204" spans="1:62" x14ac:dyDescent="0.2">
      <c r="A204" s="4" t="s">
        <v>75</v>
      </c>
      <c r="B204" s="4" t="s">
        <v>221</v>
      </c>
      <c r="C204" s="60" t="s">
        <v>478</v>
      </c>
      <c r="D204" s="61"/>
      <c r="E204" s="61"/>
      <c r="F204" s="4" t="s">
        <v>672</v>
      </c>
      <c r="G204" s="15">
        <v>1.1055200000000001</v>
      </c>
      <c r="H204" s="15">
        <v>0</v>
      </c>
      <c r="I204" s="15">
        <f>G204*AO204</f>
        <v>0</v>
      </c>
      <c r="J204" s="15">
        <f>G204*AP204</f>
        <v>0</v>
      </c>
      <c r="K204" s="15">
        <f>G204*H204</f>
        <v>0</v>
      </c>
      <c r="L204" s="27" t="s">
        <v>690</v>
      </c>
      <c r="Z204" s="32">
        <f>IF(AQ204="5",BJ204,0)</f>
        <v>0</v>
      </c>
      <c r="AB204" s="32">
        <f>IF(AQ204="1",BH204,0)</f>
        <v>0</v>
      </c>
      <c r="AC204" s="32">
        <f>IF(AQ204="1",BI204,0)</f>
        <v>0</v>
      </c>
      <c r="AD204" s="32">
        <f>IF(AQ204="7",BH204,0)</f>
        <v>0</v>
      </c>
      <c r="AE204" s="32">
        <f>IF(AQ204="7",BI204,0)</f>
        <v>0</v>
      </c>
      <c r="AF204" s="32">
        <f>IF(AQ204="2",BH204,0)</f>
        <v>0</v>
      </c>
      <c r="AG204" s="32">
        <f>IF(AQ204="2",BI204,0)</f>
        <v>0</v>
      </c>
      <c r="AH204" s="32">
        <f>IF(AQ204="0",BJ204,0)</f>
        <v>0</v>
      </c>
      <c r="AI204" s="28"/>
      <c r="AJ204" s="15">
        <f>IF(AN204=0,K204,0)</f>
        <v>0</v>
      </c>
      <c r="AK204" s="15">
        <f>IF(AN204=15,K204,0)</f>
        <v>0</v>
      </c>
      <c r="AL204" s="15">
        <f>IF(AN204=21,K204,0)</f>
        <v>0</v>
      </c>
      <c r="AN204" s="32">
        <v>21</v>
      </c>
      <c r="AO204" s="32">
        <f>H204*0</f>
        <v>0</v>
      </c>
      <c r="AP204" s="32">
        <f>H204*(1-0)</f>
        <v>0</v>
      </c>
      <c r="AQ204" s="27" t="s">
        <v>11</v>
      </c>
      <c r="AV204" s="32">
        <f>AW204+AX204</f>
        <v>0</v>
      </c>
      <c r="AW204" s="32">
        <f>G204*AO204</f>
        <v>0</v>
      </c>
      <c r="AX204" s="32">
        <f>G204*AP204</f>
        <v>0</v>
      </c>
      <c r="AY204" s="33" t="s">
        <v>717</v>
      </c>
      <c r="AZ204" s="33" t="s">
        <v>736</v>
      </c>
      <c r="BA204" s="28" t="s">
        <v>739</v>
      </c>
      <c r="BC204" s="32">
        <f>AW204+AX204</f>
        <v>0</v>
      </c>
      <c r="BD204" s="32">
        <f>H204/(100-BE204)*100</f>
        <v>0</v>
      </c>
      <c r="BE204" s="32">
        <v>0</v>
      </c>
      <c r="BF204" s="32">
        <f>202</f>
        <v>202</v>
      </c>
      <c r="BH204" s="15">
        <f>G204*AO204</f>
        <v>0</v>
      </c>
      <c r="BI204" s="15">
        <f>G204*AP204</f>
        <v>0</v>
      </c>
      <c r="BJ204" s="15">
        <f>G204*H204</f>
        <v>0</v>
      </c>
    </row>
    <row r="205" spans="1:62" x14ac:dyDescent="0.2">
      <c r="C205" s="58" t="s">
        <v>479</v>
      </c>
      <c r="D205" s="59"/>
      <c r="E205" s="59"/>
      <c r="G205" s="16">
        <v>1.1055200000000001</v>
      </c>
    </row>
    <row r="206" spans="1:62" x14ac:dyDescent="0.2">
      <c r="A206" s="5"/>
      <c r="B206" s="13" t="s">
        <v>222</v>
      </c>
      <c r="C206" s="66" t="s">
        <v>480</v>
      </c>
      <c r="D206" s="67"/>
      <c r="E206" s="67"/>
      <c r="F206" s="5" t="s">
        <v>6</v>
      </c>
      <c r="G206" s="5" t="s">
        <v>6</v>
      </c>
      <c r="H206" s="5" t="s">
        <v>6</v>
      </c>
      <c r="I206" s="35">
        <f>SUM(I207:I219)</f>
        <v>0</v>
      </c>
      <c r="J206" s="35">
        <f>SUM(J207:J219)</f>
        <v>0</v>
      </c>
      <c r="K206" s="35">
        <f>SUM(K207:K219)</f>
        <v>0</v>
      </c>
      <c r="L206" s="28"/>
      <c r="AI206" s="28"/>
      <c r="AS206" s="35">
        <f>SUM(AJ207:AJ219)</f>
        <v>0</v>
      </c>
      <c r="AT206" s="35">
        <f>SUM(AK207:AK219)</f>
        <v>0</v>
      </c>
      <c r="AU206" s="35">
        <f>SUM(AL207:AL219)</f>
        <v>0</v>
      </c>
    </row>
    <row r="207" spans="1:62" x14ac:dyDescent="0.2">
      <c r="A207" s="4" t="s">
        <v>76</v>
      </c>
      <c r="B207" s="4" t="s">
        <v>223</v>
      </c>
      <c r="C207" s="60" t="s">
        <v>481</v>
      </c>
      <c r="D207" s="61"/>
      <c r="E207" s="61"/>
      <c r="F207" s="4" t="s">
        <v>670</v>
      </c>
      <c r="G207" s="15">
        <v>110.4</v>
      </c>
      <c r="H207" s="15">
        <v>0</v>
      </c>
      <c r="I207" s="15">
        <f>G207*AO207</f>
        <v>0</v>
      </c>
      <c r="J207" s="15">
        <f>G207*AP207</f>
        <v>0</v>
      </c>
      <c r="K207" s="15">
        <f>G207*H207</f>
        <v>0</v>
      </c>
      <c r="L207" s="27" t="s">
        <v>690</v>
      </c>
      <c r="Z207" s="32">
        <f>IF(AQ207="5",BJ207,0)</f>
        <v>0</v>
      </c>
      <c r="AB207" s="32">
        <f>IF(AQ207="1",BH207,0)</f>
        <v>0</v>
      </c>
      <c r="AC207" s="32">
        <f>IF(AQ207="1",BI207,0)</f>
        <v>0</v>
      </c>
      <c r="AD207" s="32">
        <f>IF(AQ207="7",BH207,0)</f>
        <v>0</v>
      </c>
      <c r="AE207" s="32">
        <f>IF(AQ207="7",BI207,0)</f>
        <v>0</v>
      </c>
      <c r="AF207" s="32">
        <f>IF(AQ207="2",BH207,0)</f>
        <v>0</v>
      </c>
      <c r="AG207" s="32">
        <f>IF(AQ207="2",BI207,0)</f>
        <v>0</v>
      </c>
      <c r="AH207" s="32">
        <f>IF(AQ207="0",BJ207,0)</f>
        <v>0</v>
      </c>
      <c r="AI207" s="28"/>
      <c r="AJ207" s="15">
        <f>IF(AN207=0,K207,0)</f>
        <v>0</v>
      </c>
      <c r="AK207" s="15">
        <f>IF(AN207=15,K207,0)</f>
        <v>0</v>
      </c>
      <c r="AL207" s="15">
        <f>IF(AN207=21,K207,0)</f>
        <v>0</v>
      </c>
      <c r="AN207" s="32">
        <v>21</v>
      </c>
      <c r="AO207" s="32">
        <f>H207*0</f>
        <v>0</v>
      </c>
      <c r="AP207" s="32">
        <f>H207*(1-0)</f>
        <v>0</v>
      </c>
      <c r="AQ207" s="27" t="s">
        <v>13</v>
      </c>
      <c r="AV207" s="32">
        <f>AW207+AX207</f>
        <v>0</v>
      </c>
      <c r="AW207" s="32">
        <f>G207*AO207</f>
        <v>0</v>
      </c>
      <c r="AX207" s="32">
        <f>G207*AP207</f>
        <v>0</v>
      </c>
      <c r="AY207" s="33" t="s">
        <v>718</v>
      </c>
      <c r="AZ207" s="33" t="s">
        <v>736</v>
      </c>
      <c r="BA207" s="28" t="s">
        <v>739</v>
      </c>
      <c r="BC207" s="32">
        <f>AW207+AX207</f>
        <v>0</v>
      </c>
      <c r="BD207" s="32">
        <f>H207/(100-BE207)*100</f>
        <v>0</v>
      </c>
      <c r="BE207" s="32">
        <v>0</v>
      </c>
      <c r="BF207" s="32">
        <f>205</f>
        <v>205</v>
      </c>
      <c r="BH207" s="15">
        <f>G207*AO207</f>
        <v>0</v>
      </c>
      <c r="BI207" s="15">
        <f>G207*AP207</f>
        <v>0</v>
      </c>
      <c r="BJ207" s="15">
        <f>G207*H207</f>
        <v>0</v>
      </c>
    </row>
    <row r="208" spans="1:62" x14ac:dyDescent="0.2">
      <c r="C208" s="58" t="s">
        <v>482</v>
      </c>
      <c r="D208" s="59"/>
      <c r="E208" s="59"/>
      <c r="G208" s="16">
        <v>86.4</v>
      </c>
    </row>
    <row r="209" spans="1:62" x14ac:dyDescent="0.2">
      <c r="C209" s="58" t="s">
        <v>483</v>
      </c>
      <c r="D209" s="59"/>
      <c r="E209" s="59"/>
      <c r="G209" s="16">
        <v>24</v>
      </c>
    </row>
    <row r="210" spans="1:62" x14ac:dyDescent="0.2">
      <c r="A210" s="4" t="s">
        <v>77</v>
      </c>
      <c r="B210" s="4" t="s">
        <v>224</v>
      </c>
      <c r="C210" s="60" t="s">
        <v>484</v>
      </c>
      <c r="D210" s="61"/>
      <c r="E210" s="61"/>
      <c r="F210" s="4" t="s">
        <v>670</v>
      </c>
      <c r="G210" s="15">
        <v>124</v>
      </c>
      <c r="H210" s="15">
        <v>0</v>
      </c>
      <c r="I210" s="15">
        <f>G210*AO210</f>
        <v>0</v>
      </c>
      <c r="J210" s="15">
        <f>G210*AP210</f>
        <v>0</v>
      </c>
      <c r="K210" s="15">
        <f>G210*H210</f>
        <v>0</v>
      </c>
      <c r="L210" s="27" t="s">
        <v>690</v>
      </c>
      <c r="Z210" s="32">
        <f>IF(AQ210="5",BJ210,0)</f>
        <v>0</v>
      </c>
      <c r="AB210" s="32">
        <f>IF(AQ210="1",BH210,0)</f>
        <v>0</v>
      </c>
      <c r="AC210" s="32">
        <f>IF(AQ210="1",BI210,0)</f>
        <v>0</v>
      </c>
      <c r="AD210" s="32">
        <f>IF(AQ210="7",BH210,0)</f>
        <v>0</v>
      </c>
      <c r="AE210" s="32">
        <f>IF(AQ210="7",BI210,0)</f>
        <v>0</v>
      </c>
      <c r="AF210" s="32">
        <f>IF(AQ210="2",BH210,0)</f>
        <v>0</v>
      </c>
      <c r="AG210" s="32">
        <f>IF(AQ210="2",BI210,0)</f>
        <v>0</v>
      </c>
      <c r="AH210" s="32">
        <f>IF(AQ210="0",BJ210,0)</f>
        <v>0</v>
      </c>
      <c r="AI210" s="28"/>
      <c r="AJ210" s="15">
        <f>IF(AN210=0,K210,0)</f>
        <v>0</v>
      </c>
      <c r="AK210" s="15">
        <f>IF(AN210=15,K210,0)</f>
        <v>0</v>
      </c>
      <c r="AL210" s="15">
        <f>IF(AN210=21,K210,0)</f>
        <v>0</v>
      </c>
      <c r="AN210" s="32">
        <v>21</v>
      </c>
      <c r="AO210" s="32">
        <f>H210*0</f>
        <v>0</v>
      </c>
      <c r="AP210" s="32">
        <f>H210*(1-0)</f>
        <v>0</v>
      </c>
      <c r="AQ210" s="27" t="s">
        <v>13</v>
      </c>
      <c r="AV210" s="32">
        <f>AW210+AX210</f>
        <v>0</v>
      </c>
      <c r="AW210" s="32">
        <f>G210*AO210</f>
        <v>0</v>
      </c>
      <c r="AX210" s="32">
        <f>G210*AP210</f>
        <v>0</v>
      </c>
      <c r="AY210" s="33" t="s">
        <v>718</v>
      </c>
      <c r="AZ210" s="33" t="s">
        <v>736</v>
      </c>
      <c r="BA210" s="28" t="s">
        <v>739</v>
      </c>
      <c r="BC210" s="32">
        <f>AW210+AX210</f>
        <v>0</v>
      </c>
      <c r="BD210" s="32">
        <f>H210/(100-BE210)*100</f>
        <v>0</v>
      </c>
      <c r="BE210" s="32">
        <v>0</v>
      </c>
      <c r="BF210" s="32">
        <f>208</f>
        <v>208</v>
      </c>
      <c r="BH210" s="15">
        <f>G210*AO210</f>
        <v>0</v>
      </c>
      <c r="BI210" s="15">
        <f>G210*AP210</f>
        <v>0</v>
      </c>
      <c r="BJ210" s="15">
        <f>G210*H210</f>
        <v>0</v>
      </c>
    </row>
    <row r="211" spans="1:62" x14ac:dyDescent="0.2">
      <c r="C211" s="58" t="s">
        <v>485</v>
      </c>
      <c r="D211" s="59"/>
      <c r="E211" s="59"/>
      <c r="G211" s="16">
        <v>124</v>
      </c>
    </row>
    <row r="212" spans="1:62" x14ac:dyDescent="0.2">
      <c r="A212" s="4" t="s">
        <v>78</v>
      </c>
      <c r="B212" s="4" t="s">
        <v>225</v>
      </c>
      <c r="C212" s="60" t="s">
        <v>486</v>
      </c>
      <c r="D212" s="61"/>
      <c r="E212" s="61"/>
      <c r="F212" s="4" t="s">
        <v>667</v>
      </c>
      <c r="G212" s="15">
        <v>23</v>
      </c>
      <c r="H212" s="15">
        <v>0</v>
      </c>
      <c r="I212" s="15">
        <f>G212*AO212</f>
        <v>0</v>
      </c>
      <c r="J212" s="15">
        <f>G212*AP212</f>
        <v>0</v>
      </c>
      <c r="K212" s="15">
        <f>G212*H212</f>
        <v>0</v>
      </c>
      <c r="L212" s="27" t="s">
        <v>690</v>
      </c>
      <c r="Z212" s="32">
        <f>IF(AQ212="5",BJ212,0)</f>
        <v>0</v>
      </c>
      <c r="AB212" s="32">
        <f>IF(AQ212="1",BH212,0)</f>
        <v>0</v>
      </c>
      <c r="AC212" s="32">
        <f>IF(AQ212="1",BI212,0)</f>
        <v>0</v>
      </c>
      <c r="AD212" s="32">
        <f>IF(AQ212="7",BH212,0)</f>
        <v>0</v>
      </c>
      <c r="AE212" s="32">
        <f>IF(AQ212="7",BI212,0)</f>
        <v>0</v>
      </c>
      <c r="AF212" s="32">
        <f>IF(AQ212="2",BH212,0)</f>
        <v>0</v>
      </c>
      <c r="AG212" s="32">
        <f>IF(AQ212="2",BI212,0)</f>
        <v>0</v>
      </c>
      <c r="AH212" s="32">
        <f>IF(AQ212="0",BJ212,0)</f>
        <v>0</v>
      </c>
      <c r="AI212" s="28"/>
      <c r="AJ212" s="15">
        <f>IF(AN212=0,K212,0)</f>
        <v>0</v>
      </c>
      <c r="AK212" s="15">
        <f>IF(AN212=15,K212,0)</f>
        <v>0</v>
      </c>
      <c r="AL212" s="15">
        <f>IF(AN212=21,K212,0)</f>
        <v>0</v>
      </c>
      <c r="AN212" s="32">
        <v>21</v>
      </c>
      <c r="AO212" s="32">
        <f>H212*0</f>
        <v>0</v>
      </c>
      <c r="AP212" s="32">
        <f>H212*(1-0)</f>
        <v>0</v>
      </c>
      <c r="AQ212" s="27" t="s">
        <v>13</v>
      </c>
      <c r="AV212" s="32">
        <f>AW212+AX212</f>
        <v>0</v>
      </c>
      <c r="AW212" s="32">
        <f>G212*AO212</f>
        <v>0</v>
      </c>
      <c r="AX212" s="32">
        <f>G212*AP212</f>
        <v>0</v>
      </c>
      <c r="AY212" s="33" t="s">
        <v>718</v>
      </c>
      <c r="AZ212" s="33" t="s">
        <v>736</v>
      </c>
      <c r="BA212" s="28" t="s">
        <v>739</v>
      </c>
      <c r="BC212" s="32">
        <f>AW212+AX212</f>
        <v>0</v>
      </c>
      <c r="BD212" s="32">
        <f>H212/(100-BE212)*100</f>
        <v>0</v>
      </c>
      <c r="BE212" s="32">
        <v>0</v>
      </c>
      <c r="BF212" s="32">
        <f>210</f>
        <v>210</v>
      </c>
      <c r="BH212" s="15">
        <f>G212*AO212</f>
        <v>0</v>
      </c>
      <c r="BI212" s="15">
        <f>G212*AP212</f>
        <v>0</v>
      </c>
      <c r="BJ212" s="15">
        <f>G212*H212</f>
        <v>0</v>
      </c>
    </row>
    <row r="213" spans="1:62" x14ac:dyDescent="0.2">
      <c r="C213" s="58" t="s">
        <v>487</v>
      </c>
      <c r="D213" s="59"/>
      <c r="E213" s="59"/>
      <c r="G213" s="16">
        <v>23</v>
      </c>
    </row>
    <row r="214" spans="1:62" x14ac:dyDescent="0.2">
      <c r="A214" s="4" t="s">
        <v>79</v>
      </c>
      <c r="B214" s="4" t="s">
        <v>226</v>
      </c>
      <c r="C214" s="60" t="s">
        <v>488</v>
      </c>
      <c r="D214" s="61"/>
      <c r="E214" s="61"/>
      <c r="F214" s="4" t="s">
        <v>670</v>
      </c>
      <c r="G214" s="15">
        <v>110.4</v>
      </c>
      <c r="H214" s="15">
        <v>0</v>
      </c>
      <c r="I214" s="15">
        <f>G214*AO214</f>
        <v>0</v>
      </c>
      <c r="J214" s="15">
        <f>G214*AP214</f>
        <v>0</v>
      </c>
      <c r="K214" s="15">
        <f>G214*H214</f>
        <v>0</v>
      </c>
      <c r="L214" s="27" t="s">
        <v>690</v>
      </c>
      <c r="Z214" s="32">
        <f>IF(AQ214="5",BJ214,0)</f>
        <v>0</v>
      </c>
      <c r="AB214" s="32">
        <f>IF(AQ214="1",BH214,0)</f>
        <v>0</v>
      </c>
      <c r="AC214" s="32">
        <f>IF(AQ214="1",BI214,0)</f>
        <v>0</v>
      </c>
      <c r="AD214" s="32">
        <f>IF(AQ214="7",BH214,0)</f>
        <v>0</v>
      </c>
      <c r="AE214" s="32">
        <f>IF(AQ214="7",BI214,0)</f>
        <v>0</v>
      </c>
      <c r="AF214" s="32">
        <f>IF(AQ214="2",BH214,0)</f>
        <v>0</v>
      </c>
      <c r="AG214" s="32">
        <f>IF(AQ214="2",BI214,0)</f>
        <v>0</v>
      </c>
      <c r="AH214" s="32">
        <f>IF(AQ214="0",BJ214,0)</f>
        <v>0</v>
      </c>
      <c r="AI214" s="28"/>
      <c r="AJ214" s="15">
        <f>IF(AN214=0,K214,0)</f>
        <v>0</v>
      </c>
      <c r="AK214" s="15">
        <f>IF(AN214=15,K214,0)</f>
        <v>0</v>
      </c>
      <c r="AL214" s="15">
        <f>IF(AN214=21,K214,0)</f>
        <v>0</v>
      </c>
      <c r="AN214" s="32">
        <v>21</v>
      </c>
      <c r="AO214" s="32">
        <f>H214*0.200098039215686</f>
        <v>0</v>
      </c>
      <c r="AP214" s="32">
        <f>H214*(1-0.200098039215686)</f>
        <v>0</v>
      </c>
      <c r="AQ214" s="27" t="s">
        <v>13</v>
      </c>
      <c r="AV214" s="32">
        <f>AW214+AX214</f>
        <v>0</v>
      </c>
      <c r="AW214" s="32">
        <f>G214*AO214</f>
        <v>0</v>
      </c>
      <c r="AX214" s="32">
        <f>G214*AP214</f>
        <v>0</v>
      </c>
      <c r="AY214" s="33" t="s">
        <v>718</v>
      </c>
      <c r="AZ214" s="33" t="s">
        <v>736</v>
      </c>
      <c r="BA214" s="28" t="s">
        <v>739</v>
      </c>
      <c r="BC214" s="32">
        <f>AW214+AX214</f>
        <v>0</v>
      </c>
      <c r="BD214" s="32">
        <f>H214/(100-BE214)*100</f>
        <v>0</v>
      </c>
      <c r="BE214" s="32">
        <v>0</v>
      </c>
      <c r="BF214" s="32">
        <f>212</f>
        <v>212</v>
      </c>
      <c r="BH214" s="15">
        <f>G214*AO214</f>
        <v>0</v>
      </c>
      <c r="BI214" s="15">
        <f>G214*AP214</f>
        <v>0</v>
      </c>
      <c r="BJ214" s="15">
        <f>G214*H214</f>
        <v>0</v>
      </c>
    </row>
    <row r="215" spans="1:62" x14ac:dyDescent="0.2">
      <c r="C215" s="58" t="s">
        <v>489</v>
      </c>
      <c r="D215" s="59"/>
      <c r="E215" s="59"/>
      <c r="G215" s="16">
        <v>86.4</v>
      </c>
    </row>
    <row r="216" spans="1:62" x14ac:dyDescent="0.2">
      <c r="C216" s="58" t="s">
        <v>490</v>
      </c>
      <c r="D216" s="59"/>
      <c r="E216" s="59"/>
      <c r="G216" s="16">
        <v>24</v>
      </c>
    </row>
    <row r="217" spans="1:62" x14ac:dyDescent="0.2">
      <c r="A217" s="4" t="s">
        <v>80</v>
      </c>
      <c r="B217" s="4" t="s">
        <v>227</v>
      </c>
      <c r="C217" s="60" t="s">
        <v>491</v>
      </c>
      <c r="D217" s="61"/>
      <c r="E217" s="61"/>
      <c r="F217" s="4" t="s">
        <v>667</v>
      </c>
      <c r="G217" s="15">
        <v>23</v>
      </c>
      <c r="H217" s="15">
        <v>0</v>
      </c>
      <c r="I217" s="15">
        <f>G217*AO217</f>
        <v>0</v>
      </c>
      <c r="J217" s="15">
        <f>G217*AP217</f>
        <v>0</v>
      </c>
      <c r="K217" s="15">
        <f>G217*H217</f>
        <v>0</v>
      </c>
      <c r="L217" s="27" t="s">
        <v>690</v>
      </c>
      <c r="Z217" s="32">
        <f>IF(AQ217="5",BJ217,0)</f>
        <v>0</v>
      </c>
      <c r="AB217" s="32">
        <f>IF(AQ217="1",BH217,0)</f>
        <v>0</v>
      </c>
      <c r="AC217" s="32">
        <f>IF(AQ217="1",BI217,0)</f>
        <v>0</v>
      </c>
      <c r="AD217" s="32">
        <f>IF(AQ217="7",BH217,0)</f>
        <v>0</v>
      </c>
      <c r="AE217" s="32">
        <f>IF(AQ217="7",BI217,0)</f>
        <v>0</v>
      </c>
      <c r="AF217" s="32">
        <f>IF(AQ217="2",BH217,0)</f>
        <v>0</v>
      </c>
      <c r="AG217" s="32">
        <f>IF(AQ217="2",BI217,0)</f>
        <v>0</v>
      </c>
      <c r="AH217" s="32">
        <f>IF(AQ217="0",BJ217,0)</f>
        <v>0</v>
      </c>
      <c r="AI217" s="28"/>
      <c r="AJ217" s="15">
        <f>IF(AN217=0,K217,0)</f>
        <v>0</v>
      </c>
      <c r="AK217" s="15">
        <f>IF(AN217=15,K217,0)</f>
        <v>0</v>
      </c>
      <c r="AL217" s="15">
        <f>IF(AN217=21,K217,0)</f>
        <v>0</v>
      </c>
      <c r="AN217" s="32">
        <v>21</v>
      </c>
      <c r="AO217" s="32">
        <f>H217*0.507946107784431</f>
        <v>0</v>
      </c>
      <c r="AP217" s="32">
        <f>H217*(1-0.507946107784431)</f>
        <v>0</v>
      </c>
      <c r="AQ217" s="27" t="s">
        <v>13</v>
      </c>
      <c r="AV217" s="32">
        <f>AW217+AX217</f>
        <v>0</v>
      </c>
      <c r="AW217" s="32">
        <f>G217*AO217</f>
        <v>0</v>
      </c>
      <c r="AX217" s="32">
        <f>G217*AP217</f>
        <v>0</v>
      </c>
      <c r="AY217" s="33" t="s">
        <v>718</v>
      </c>
      <c r="AZ217" s="33" t="s">
        <v>736</v>
      </c>
      <c r="BA217" s="28" t="s">
        <v>739</v>
      </c>
      <c r="BC217" s="32">
        <f>AW217+AX217</f>
        <v>0</v>
      </c>
      <c r="BD217" s="32">
        <f>H217/(100-BE217)*100</f>
        <v>0</v>
      </c>
      <c r="BE217" s="32">
        <v>0</v>
      </c>
      <c r="BF217" s="32">
        <f>215</f>
        <v>215</v>
      </c>
      <c r="BH217" s="15">
        <f>G217*AO217</f>
        <v>0</v>
      </c>
      <c r="BI217" s="15">
        <f>G217*AP217</f>
        <v>0</v>
      </c>
      <c r="BJ217" s="15">
        <f>G217*H217</f>
        <v>0</v>
      </c>
    </row>
    <row r="218" spans="1:62" x14ac:dyDescent="0.2">
      <c r="C218" s="58" t="s">
        <v>492</v>
      </c>
      <c r="D218" s="59"/>
      <c r="E218" s="59"/>
      <c r="G218" s="16">
        <v>23</v>
      </c>
    </row>
    <row r="219" spans="1:62" x14ac:dyDescent="0.2">
      <c r="A219" s="4" t="s">
        <v>81</v>
      </c>
      <c r="B219" s="4" t="s">
        <v>228</v>
      </c>
      <c r="C219" s="60" t="s">
        <v>493</v>
      </c>
      <c r="D219" s="61"/>
      <c r="E219" s="61"/>
      <c r="F219" s="4" t="s">
        <v>672</v>
      </c>
      <c r="G219" s="15">
        <v>0.67473000000000005</v>
      </c>
      <c r="H219" s="15">
        <v>0</v>
      </c>
      <c r="I219" s="15">
        <f>G219*AO219</f>
        <v>0</v>
      </c>
      <c r="J219" s="15">
        <f>G219*AP219</f>
        <v>0</v>
      </c>
      <c r="K219" s="15">
        <f>G219*H219</f>
        <v>0</v>
      </c>
      <c r="L219" s="27" t="s">
        <v>690</v>
      </c>
      <c r="Z219" s="32">
        <f>IF(AQ219="5",BJ219,0)</f>
        <v>0</v>
      </c>
      <c r="AB219" s="32">
        <f>IF(AQ219="1",BH219,0)</f>
        <v>0</v>
      </c>
      <c r="AC219" s="32">
        <f>IF(AQ219="1",BI219,0)</f>
        <v>0</v>
      </c>
      <c r="AD219" s="32">
        <f>IF(AQ219="7",BH219,0)</f>
        <v>0</v>
      </c>
      <c r="AE219" s="32">
        <f>IF(AQ219="7",BI219,0)</f>
        <v>0</v>
      </c>
      <c r="AF219" s="32">
        <f>IF(AQ219="2",BH219,0)</f>
        <v>0</v>
      </c>
      <c r="AG219" s="32">
        <f>IF(AQ219="2",BI219,0)</f>
        <v>0</v>
      </c>
      <c r="AH219" s="32">
        <f>IF(AQ219="0",BJ219,0)</f>
        <v>0</v>
      </c>
      <c r="AI219" s="28"/>
      <c r="AJ219" s="15">
        <f>IF(AN219=0,K219,0)</f>
        <v>0</v>
      </c>
      <c r="AK219" s="15">
        <f>IF(AN219=15,K219,0)</f>
        <v>0</v>
      </c>
      <c r="AL219" s="15">
        <f>IF(AN219=21,K219,0)</f>
        <v>0</v>
      </c>
      <c r="AN219" s="32">
        <v>21</v>
      </c>
      <c r="AO219" s="32">
        <f>H219*0</f>
        <v>0</v>
      </c>
      <c r="AP219" s="32">
        <f>H219*(1-0)</f>
        <v>0</v>
      </c>
      <c r="AQ219" s="27" t="s">
        <v>11</v>
      </c>
      <c r="AV219" s="32">
        <f>AW219+AX219</f>
        <v>0</v>
      </c>
      <c r="AW219" s="32">
        <f>G219*AO219</f>
        <v>0</v>
      </c>
      <c r="AX219" s="32">
        <f>G219*AP219</f>
        <v>0</v>
      </c>
      <c r="AY219" s="33" t="s">
        <v>718</v>
      </c>
      <c r="AZ219" s="33" t="s">
        <v>736</v>
      </c>
      <c r="BA219" s="28" t="s">
        <v>739</v>
      </c>
      <c r="BC219" s="32">
        <f>AW219+AX219</f>
        <v>0</v>
      </c>
      <c r="BD219" s="32">
        <f>H219/(100-BE219)*100</f>
        <v>0</v>
      </c>
      <c r="BE219" s="32">
        <v>0</v>
      </c>
      <c r="BF219" s="32">
        <f>217</f>
        <v>217</v>
      </c>
      <c r="BH219" s="15">
        <f>G219*AO219</f>
        <v>0</v>
      </c>
      <c r="BI219" s="15">
        <f>G219*AP219</f>
        <v>0</v>
      </c>
      <c r="BJ219" s="15">
        <f>G219*H219</f>
        <v>0</v>
      </c>
    </row>
    <row r="220" spans="1:62" x14ac:dyDescent="0.2">
      <c r="C220" s="58" t="s">
        <v>494</v>
      </c>
      <c r="D220" s="59"/>
      <c r="E220" s="59"/>
      <c r="G220" s="16">
        <v>0.67473000000000005</v>
      </c>
    </row>
    <row r="221" spans="1:62" x14ac:dyDescent="0.2">
      <c r="A221" s="5"/>
      <c r="B221" s="13" t="s">
        <v>229</v>
      </c>
      <c r="C221" s="66" t="s">
        <v>495</v>
      </c>
      <c r="D221" s="67"/>
      <c r="E221" s="67"/>
      <c r="F221" s="5" t="s">
        <v>6</v>
      </c>
      <c r="G221" s="5" t="s">
        <v>6</v>
      </c>
      <c r="H221" s="5" t="s">
        <v>6</v>
      </c>
      <c r="I221" s="35">
        <f>SUM(I222:I222)</f>
        <v>0</v>
      </c>
      <c r="J221" s="35">
        <f>SUM(J222:J222)</f>
        <v>0</v>
      </c>
      <c r="K221" s="35">
        <f>SUM(K222:K222)</f>
        <v>0</v>
      </c>
      <c r="L221" s="28"/>
      <c r="AI221" s="28"/>
      <c r="AS221" s="35">
        <f>SUM(AJ222:AJ222)</f>
        <v>0</v>
      </c>
      <c r="AT221" s="35">
        <f>SUM(AK222:AK222)</f>
        <v>0</v>
      </c>
      <c r="AU221" s="35">
        <f>SUM(AL222:AL222)</f>
        <v>0</v>
      </c>
    </row>
    <row r="222" spans="1:62" x14ac:dyDescent="0.2">
      <c r="A222" s="4" t="s">
        <v>82</v>
      </c>
      <c r="B222" s="4" t="s">
        <v>230</v>
      </c>
      <c r="C222" s="60" t="s">
        <v>496</v>
      </c>
      <c r="D222" s="61"/>
      <c r="E222" s="61"/>
      <c r="F222" s="4" t="s">
        <v>667</v>
      </c>
      <c r="G222" s="15">
        <v>1053</v>
      </c>
      <c r="H222" s="15">
        <v>0</v>
      </c>
      <c r="I222" s="15">
        <f>G222*AO222</f>
        <v>0</v>
      </c>
      <c r="J222" s="15">
        <f>G222*AP222</f>
        <v>0</v>
      </c>
      <c r="K222" s="15">
        <f>G222*H222</f>
        <v>0</v>
      </c>
      <c r="L222" s="27" t="s">
        <v>690</v>
      </c>
      <c r="Z222" s="32">
        <f>IF(AQ222="5",BJ222,0)</f>
        <v>0</v>
      </c>
      <c r="AB222" s="32">
        <f>IF(AQ222="1",BH222,0)</f>
        <v>0</v>
      </c>
      <c r="AC222" s="32">
        <f>IF(AQ222="1",BI222,0)</f>
        <v>0</v>
      </c>
      <c r="AD222" s="32">
        <f>IF(AQ222="7",BH222,0)</f>
        <v>0</v>
      </c>
      <c r="AE222" s="32">
        <f>IF(AQ222="7",BI222,0)</f>
        <v>0</v>
      </c>
      <c r="AF222" s="32">
        <f>IF(AQ222="2",BH222,0)</f>
        <v>0</v>
      </c>
      <c r="AG222" s="32">
        <f>IF(AQ222="2",BI222,0)</f>
        <v>0</v>
      </c>
      <c r="AH222" s="32">
        <f>IF(AQ222="0",BJ222,0)</f>
        <v>0</v>
      </c>
      <c r="AI222" s="28"/>
      <c r="AJ222" s="15">
        <f>IF(AN222=0,K222,0)</f>
        <v>0</v>
      </c>
      <c r="AK222" s="15">
        <f>IF(AN222=15,K222,0)</f>
        <v>0</v>
      </c>
      <c r="AL222" s="15">
        <f>IF(AN222=21,K222,0)</f>
        <v>0</v>
      </c>
      <c r="AN222" s="32">
        <v>21</v>
      </c>
      <c r="AO222" s="32">
        <f>H222*0</f>
        <v>0</v>
      </c>
      <c r="AP222" s="32">
        <f>H222*(1-0)</f>
        <v>0</v>
      </c>
      <c r="AQ222" s="27" t="s">
        <v>13</v>
      </c>
      <c r="AV222" s="32">
        <f>AW222+AX222</f>
        <v>0</v>
      </c>
      <c r="AW222" s="32">
        <f>G222*AO222</f>
        <v>0</v>
      </c>
      <c r="AX222" s="32">
        <f>G222*AP222</f>
        <v>0</v>
      </c>
      <c r="AY222" s="33" t="s">
        <v>719</v>
      </c>
      <c r="AZ222" s="33" t="s">
        <v>736</v>
      </c>
      <c r="BA222" s="28" t="s">
        <v>739</v>
      </c>
      <c r="BC222" s="32">
        <f>AW222+AX222</f>
        <v>0</v>
      </c>
      <c r="BD222" s="32">
        <f>H222/(100-BE222)*100</f>
        <v>0</v>
      </c>
      <c r="BE222" s="32">
        <v>0</v>
      </c>
      <c r="BF222" s="32">
        <f>220</f>
        <v>220</v>
      </c>
      <c r="BH222" s="15">
        <f>G222*AO222</f>
        <v>0</v>
      </c>
      <c r="BI222" s="15">
        <f>G222*AP222</f>
        <v>0</v>
      </c>
      <c r="BJ222" s="15">
        <f>G222*H222</f>
        <v>0</v>
      </c>
    </row>
    <row r="223" spans="1:62" x14ac:dyDescent="0.2">
      <c r="C223" s="58" t="s">
        <v>418</v>
      </c>
      <c r="D223" s="59"/>
      <c r="E223" s="59"/>
      <c r="G223" s="16">
        <v>1053</v>
      </c>
    </row>
    <row r="224" spans="1:62" x14ac:dyDescent="0.2">
      <c r="A224" s="5"/>
      <c r="B224" s="13" t="s">
        <v>231</v>
      </c>
      <c r="C224" s="66" t="s">
        <v>497</v>
      </c>
      <c r="D224" s="67"/>
      <c r="E224" s="67"/>
      <c r="F224" s="5" t="s">
        <v>6</v>
      </c>
      <c r="G224" s="5" t="s">
        <v>6</v>
      </c>
      <c r="H224" s="5" t="s">
        <v>6</v>
      </c>
      <c r="I224" s="35">
        <f>SUM(I225:I249)</f>
        <v>0</v>
      </c>
      <c r="J224" s="35">
        <f>SUM(J225:J249)</f>
        <v>0</v>
      </c>
      <c r="K224" s="35">
        <f>SUM(K225:K249)</f>
        <v>0</v>
      </c>
      <c r="L224" s="28"/>
      <c r="AI224" s="28"/>
      <c r="AS224" s="35">
        <f>SUM(AJ225:AJ249)</f>
        <v>0</v>
      </c>
      <c r="AT224" s="35">
        <f>SUM(AK225:AK249)</f>
        <v>0</v>
      </c>
      <c r="AU224" s="35">
        <f>SUM(AL225:AL249)</f>
        <v>0</v>
      </c>
    </row>
    <row r="225" spans="1:62" x14ac:dyDescent="0.2">
      <c r="A225" s="4" t="s">
        <v>83</v>
      </c>
      <c r="B225" s="4" t="s">
        <v>232</v>
      </c>
      <c r="C225" s="60" t="s">
        <v>498</v>
      </c>
      <c r="D225" s="61"/>
      <c r="E225" s="61"/>
      <c r="F225" s="4" t="s">
        <v>667</v>
      </c>
      <c r="G225" s="15">
        <v>281.476</v>
      </c>
      <c r="H225" s="15">
        <v>0</v>
      </c>
      <c r="I225" s="15">
        <f>G225*AO225</f>
        <v>0</v>
      </c>
      <c r="J225" s="15">
        <f>G225*AP225</f>
        <v>0</v>
      </c>
      <c r="K225" s="15">
        <f>G225*H225</f>
        <v>0</v>
      </c>
      <c r="L225" s="27" t="s">
        <v>690</v>
      </c>
      <c r="Z225" s="32">
        <f>IF(AQ225="5",BJ225,0)</f>
        <v>0</v>
      </c>
      <c r="AB225" s="32">
        <f>IF(AQ225="1",BH225,0)</f>
        <v>0</v>
      </c>
      <c r="AC225" s="32">
        <f>IF(AQ225="1",BI225,0)</f>
        <v>0</v>
      </c>
      <c r="AD225" s="32">
        <f>IF(AQ225="7",BH225,0)</f>
        <v>0</v>
      </c>
      <c r="AE225" s="32">
        <f>IF(AQ225="7",BI225,0)</f>
        <v>0</v>
      </c>
      <c r="AF225" s="32">
        <f>IF(AQ225="2",BH225,0)</f>
        <v>0</v>
      </c>
      <c r="AG225" s="32">
        <f>IF(AQ225="2",BI225,0)</f>
        <v>0</v>
      </c>
      <c r="AH225" s="32">
        <f>IF(AQ225="0",BJ225,0)</f>
        <v>0</v>
      </c>
      <c r="AI225" s="28"/>
      <c r="AJ225" s="15">
        <f>IF(AN225=0,K225,0)</f>
        <v>0</v>
      </c>
      <c r="AK225" s="15">
        <f>IF(AN225=15,K225,0)</f>
        <v>0</v>
      </c>
      <c r="AL225" s="15">
        <f>IF(AN225=21,K225,0)</f>
        <v>0</v>
      </c>
      <c r="AN225" s="32">
        <v>21</v>
      </c>
      <c r="AO225" s="32">
        <f>H225*0.0282533333333333</f>
        <v>0</v>
      </c>
      <c r="AP225" s="32">
        <f>H225*(1-0.0282533333333333)</f>
        <v>0</v>
      </c>
      <c r="AQ225" s="27" t="s">
        <v>13</v>
      </c>
      <c r="AV225" s="32">
        <f>AW225+AX225</f>
        <v>0</v>
      </c>
      <c r="AW225" s="32">
        <f>G225*AO225</f>
        <v>0</v>
      </c>
      <c r="AX225" s="32">
        <f>G225*AP225</f>
        <v>0</v>
      </c>
      <c r="AY225" s="33" t="s">
        <v>720</v>
      </c>
      <c r="AZ225" s="33" t="s">
        <v>736</v>
      </c>
      <c r="BA225" s="28" t="s">
        <v>739</v>
      </c>
      <c r="BC225" s="32">
        <f>AW225+AX225</f>
        <v>0</v>
      </c>
      <c r="BD225" s="32">
        <f>H225/(100-BE225)*100</f>
        <v>0</v>
      </c>
      <c r="BE225" s="32">
        <v>0</v>
      </c>
      <c r="BF225" s="32">
        <f>223</f>
        <v>223</v>
      </c>
      <c r="BH225" s="15">
        <f>G225*AO225</f>
        <v>0</v>
      </c>
      <c r="BI225" s="15">
        <f>G225*AP225</f>
        <v>0</v>
      </c>
      <c r="BJ225" s="15">
        <f>G225*H225</f>
        <v>0</v>
      </c>
    </row>
    <row r="226" spans="1:62" x14ac:dyDescent="0.2">
      <c r="C226" s="58" t="s">
        <v>499</v>
      </c>
      <c r="D226" s="59"/>
      <c r="E226" s="59"/>
      <c r="G226" s="16">
        <v>9</v>
      </c>
    </row>
    <row r="227" spans="1:62" x14ac:dyDescent="0.2">
      <c r="C227" s="58" t="s">
        <v>500</v>
      </c>
      <c r="D227" s="59"/>
      <c r="E227" s="59"/>
      <c r="G227" s="16">
        <v>201.6</v>
      </c>
    </row>
    <row r="228" spans="1:62" x14ac:dyDescent="0.2">
      <c r="C228" s="58" t="s">
        <v>501</v>
      </c>
      <c r="D228" s="59"/>
      <c r="E228" s="59"/>
      <c r="G228" s="16">
        <v>54</v>
      </c>
    </row>
    <row r="229" spans="1:62" x14ac:dyDescent="0.2">
      <c r="C229" s="58" t="s">
        <v>502</v>
      </c>
      <c r="D229" s="59"/>
      <c r="E229" s="59"/>
      <c r="G229" s="16">
        <v>5.04</v>
      </c>
    </row>
    <row r="230" spans="1:62" x14ac:dyDescent="0.2">
      <c r="C230" s="58" t="s">
        <v>503</v>
      </c>
      <c r="D230" s="59"/>
      <c r="E230" s="59"/>
      <c r="G230" s="16">
        <v>3.15</v>
      </c>
    </row>
    <row r="231" spans="1:62" x14ac:dyDescent="0.2">
      <c r="C231" s="58" t="s">
        <v>504</v>
      </c>
      <c r="D231" s="59"/>
      <c r="E231" s="59"/>
      <c r="G231" s="16">
        <v>3.4860000000000002</v>
      </c>
    </row>
    <row r="232" spans="1:62" x14ac:dyDescent="0.2">
      <c r="C232" s="58" t="s">
        <v>505</v>
      </c>
      <c r="D232" s="59"/>
      <c r="E232" s="59"/>
      <c r="G232" s="16">
        <v>5.2</v>
      </c>
    </row>
    <row r="233" spans="1:62" x14ac:dyDescent="0.2">
      <c r="A233" s="6" t="s">
        <v>84</v>
      </c>
      <c r="B233" s="6" t="s">
        <v>233</v>
      </c>
      <c r="C233" s="68" t="s">
        <v>506</v>
      </c>
      <c r="D233" s="69"/>
      <c r="E233" s="69"/>
      <c r="F233" s="6" t="s">
        <v>671</v>
      </c>
      <c r="G233" s="17">
        <v>1</v>
      </c>
      <c r="H233" s="17">
        <v>0</v>
      </c>
      <c r="I233" s="17">
        <f>G233*AO233</f>
        <v>0</v>
      </c>
      <c r="J233" s="17">
        <f>G233*AP233</f>
        <v>0</v>
      </c>
      <c r="K233" s="17">
        <f>G233*H233</f>
        <v>0</v>
      </c>
      <c r="L233" s="29"/>
      <c r="Z233" s="32">
        <f>IF(AQ233="5",BJ233,0)</f>
        <v>0</v>
      </c>
      <c r="AB233" s="32">
        <f>IF(AQ233="1",BH233,0)</f>
        <v>0</v>
      </c>
      <c r="AC233" s="32">
        <f>IF(AQ233="1",BI233,0)</f>
        <v>0</v>
      </c>
      <c r="AD233" s="32">
        <f>IF(AQ233="7",BH233,0)</f>
        <v>0</v>
      </c>
      <c r="AE233" s="32">
        <f>IF(AQ233="7",BI233,0)</f>
        <v>0</v>
      </c>
      <c r="AF233" s="32">
        <f>IF(AQ233="2",BH233,0)</f>
        <v>0</v>
      </c>
      <c r="AG233" s="32">
        <f>IF(AQ233="2",BI233,0)</f>
        <v>0</v>
      </c>
      <c r="AH233" s="32">
        <f>IF(AQ233="0",BJ233,0)</f>
        <v>0</v>
      </c>
      <c r="AI233" s="28"/>
      <c r="AJ233" s="17">
        <f>IF(AN233=0,K233,0)</f>
        <v>0</v>
      </c>
      <c r="AK233" s="17">
        <f>IF(AN233=15,K233,0)</f>
        <v>0</v>
      </c>
      <c r="AL233" s="17">
        <f>IF(AN233=21,K233,0)</f>
        <v>0</v>
      </c>
      <c r="AN233" s="32">
        <v>21</v>
      </c>
      <c r="AO233" s="32">
        <f>H233*1</f>
        <v>0</v>
      </c>
      <c r="AP233" s="32">
        <f>H233*(1-1)</f>
        <v>0</v>
      </c>
      <c r="AQ233" s="29" t="s">
        <v>13</v>
      </c>
      <c r="AV233" s="32">
        <f>AW233+AX233</f>
        <v>0</v>
      </c>
      <c r="AW233" s="32">
        <f>G233*AO233</f>
        <v>0</v>
      </c>
      <c r="AX233" s="32">
        <f>G233*AP233</f>
        <v>0</v>
      </c>
      <c r="AY233" s="33" t="s">
        <v>720</v>
      </c>
      <c r="AZ233" s="33" t="s">
        <v>736</v>
      </c>
      <c r="BA233" s="28" t="s">
        <v>739</v>
      </c>
      <c r="BC233" s="32">
        <f>AW233+AX233</f>
        <v>0</v>
      </c>
      <c r="BD233" s="32">
        <f>H233/(100-BE233)*100</f>
        <v>0</v>
      </c>
      <c r="BE233" s="32">
        <v>0</v>
      </c>
      <c r="BF233" s="32">
        <f>231</f>
        <v>231</v>
      </c>
      <c r="BH233" s="17">
        <f>G233*AO233</f>
        <v>0</v>
      </c>
      <c r="BI233" s="17">
        <f>G233*AP233</f>
        <v>0</v>
      </c>
      <c r="BJ233" s="17">
        <f>G233*H233</f>
        <v>0</v>
      </c>
    </row>
    <row r="234" spans="1:62" x14ac:dyDescent="0.2">
      <c r="C234" s="58" t="s">
        <v>507</v>
      </c>
      <c r="D234" s="59"/>
      <c r="E234" s="59"/>
      <c r="G234" s="16">
        <v>1</v>
      </c>
    </row>
    <row r="235" spans="1:62" x14ac:dyDescent="0.2">
      <c r="A235" s="6" t="s">
        <v>85</v>
      </c>
      <c r="B235" s="6" t="s">
        <v>234</v>
      </c>
      <c r="C235" s="68" t="s">
        <v>508</v>
      </c>
      <c r="D235" s="69"/>
      <c r="E235" s="69"/>
      <c r="F235" s="6" t="s">
        <v>671</v>
      </c>
      <c r="G235" s="17">
        <v>35</v>
      </c>
      <c r="H235" s="17">
        <v>0</v>
      </c>
      <c r="I235" s="17">
        <f>G235*AO235</f>
        <v>0</v>
      </c>
      <c r="J235" s="17">
        <f>G235*AP235</f>
        <v>0</v>
      </c>
      <c r="K235" s="17">
        <f>G235*H235</f>
        <v>0</v>
      </c>
      <c r="L235" s="29"/>
      <c r="Z235" s="32">
        <f>IF(AQ235="5",BJ235,0)</f>
        <v>0</v>
      </c>
      <c r="AB235" s="32">
        <f>IF(AQ235="1",BH235,0)</f>
        <v>0</v>
      </c>
      <c r="AC235" s="32">
        <f>IF(AQ235="1",BI235,0)</f>
        <v>0</v>
      </c>
      <c r="AD235" s="32">
        <f>IF(AQ235="7",BH235,0)</f>
        <v>0</v>
      </c>
      <c r="AE235" s="32">
        <f>IF(AQ235="7",BI235,0)</f>
        <v>0</v>
      </c>
      <c r="AF235" s="32">
        <f>IF(AQ235="2",BH235,0)</f>
        <v>0</v>
      </c>
      <c r="AG235" s="32">
        <f>IF(AQ235="2",BI235,0)</f>
        <v>0</v>
      </c>
      <c r="AH235" s="32">
        <f>IF(AQ235="0",BJ235,0)</f>
        <v>0</v>
      </c>
      <c r="AI235" s="28"/>
      <c r="AJ235" s="17">
        <f>IF(AN235=0,K235,0)</f>
        <v>0</v>
      </c>
      <c r="AK235" s="17">
        <f>IF(AN235=15,K235,0)</f>
        <v>0</v>
      </c>
      <c r="AL235" s="17">
        <f>IF(AN235=21,K235,0)</f>
        <v>0</v>
      </c>
      <c r="AN235" s="32">
        <v>21</v>
      </c>
      <c r="AO235" s="32">
        <f>H235*1</f>
        <v>0</v>
      </c>
      <c r="AP235" s="32">
        <f>H235*(1-1)</f>
        <v>0</v>
      </c>
      <c r="AQ235" s="29" t="s">
        <v>13</v>
      </c>
      <c r="AV235" s="32">
        <f>AW235+AX235</f>
        <v>0</v>
      </c>
      <c r="AW235" s="32">
        <f>G235*AO235</f>
        <v>0</v>
      </c>
      <c r="AX235" s="32">
        <f>G235*AP235</f>
        <v>0</v>
      </c>
      <c r="AY235" s="33" t="s">
        <v>720</v>
      </c>
      <c r="AZ235" s="33" t="s">
        <v>736</v>
      </c>
      <c r="BA235" s="28" t="s">
        <v>739</v>
      </c>
      <c r="BC235" s="32">
        <f>AW235+AX235</f>
        <v>0</v>
      </c>
      <c r="BD235" s="32">
        <f>H235/(100-BE235)*100</f>
        <v>0</v>
      </c>
      <c r="BE235" s="32">
        <v>0</v>
      </c>
      <c r="BF235" s="32">
        <f>233</f>
        <v>233</v>
      </c>
      <c r="BH235" s="17">
        <f>G235*AO235</f>
        <v>0</v>
      </c>
      <c r="BI235" s="17">
        <f>G235*AP235</f>
        <v>0</v>
      </c>
      <c r="BJ235" s="17">
        <f>G235*H235</f>
        <v>0</v>
      </c>
    </row>
    <row r="236" spans="1:62" x14ac:dyDescent="0.2">
      <c r="C236" s="58" t="s">
        <v>509</v>
      </c>
      <c r="D236" s="59"/>
      <c r="E236" s="59"/>
      <c r="G236" s="16">
        <v>35</v>
      </c>
    </row>
    <row r="237" spans="1:62" x14ac:dyDescent="0.2">
      <c r="A237" s="6" t="s">
        <v>86</v>
      </c>
      <c r="B237" s="6" t="s">
        <v>235</v>
      </c>
      <c r="C237" s="68" t="s">
        <v>510</v>
      </c>
      <c r="D237" s="69"/>
      <c r="E237" s="69"/>
      <c r="F237" s="6" t="s">
        <v>671</v>
      </c>
      <c r="G237" s="17">
        <v>5</v>
      </c>
      <c r="H237" s="17">
        <v>0</v>
      </c>
      <c r="I237" s="17">
        <f>G237*AO237</f>
        <v>0</v>
      </c>
      <c r="J237" s="17">
        <f>G237*AP237</f>
        <v>0</v>
      </c>
      <c r="K237" s="17">
        <f>G237*H237</f>
        <v>0</v>
      </c>
      <c r="L237" s="29"/>
      <c r="Z237" s="32">
        <f>IF(AQ237="5",BJ237,0)</f>
        <v>0</v>
      </c>
      <c r="AB237" s="32">
        <f>IF(AQ237="1",BH237,0)</f>
        <v>0</v>
      </c>
      <c r="AC237" s="32">
        <f>IF(AQ237="1",BI237,0)</f>
        <v>0</v>
      </c>
      <c r="AD237" s="32">
        <f>IF(AQ237="7",BH237,0)</f>
        <v>0</v>
      </c>
      <c r="AE237" s="32">
        <f>IF(AQ237="7",BI237,0)</f>
        <v>0</v>
      </c>
      <c r="AF237" s="32">
        <f>IF(AQ237="2",BH237,0)</f>
        <v>0</v>
      </c>
      <c r="AG237" s="32">
        <f>IF(AQ237="2",BI237,0)</f>
        <v>0</v>
      </c>
      <c r="AH237" s="32">
        <f>IF(AQ237="0",BJ237,0)</f>
        <v>0</v>
      </c>
      <c r="AI237" s="28"/>
      <c r="AJ237" s="17">
        <f>IF(AN237=0,K237,0)</f>
        <v>0</v>
      </c>
      <c r="AK237" s="17">
        <f>IF(AN237=15,K237,0)</f>
        <v>0</v>
      </c>
      <c r="AL237" s="17">
        <f>IF(AN237=21,K237,0)</f>
        <v>0</v>
      </c>
      <c r="AN237" s="32">
        <v>21</v>
      </c>
      <c r="AO237" s="32">
        <f>H237*1</f>
        <v>0</v>
      </c>
      <c r="AP237" s="32">
        <f>H237*(1-1)</f>
        <v>0</v>
      </c>
      <c r="AQ237" s="29" t="s">
        <v>13</v>
      </c>
      <c r="AV237" s="32">
        <f>AW237+AX237</f>
        <v>0</v>
      </c>
      <c r="AW237" s="32">
        <f>G237*AO237</f>
        <v>0</v>
      </c>
      <c r="AX237" s="32">
        <f>G237*AP237</f>
        <v>0</v>
      </c>
      <c r="AY237" s="33" t="s">
        <v>720</v>
      </c>
      <c r="AZ237" s="33" t="s">
        <v>736</v>
      </c>
      <c r="BA237" s="28" t="s">
        <v>739</v>
      </c>
      <c r="BC237" s="32">
        <f>AW237+AX237</f>
        <v>0</v>
      </c>
      <c r="BD237" s="32">
        <f>H237/(100-BE237)*100</f>
        <v>0</v>
      </c>
      <c r="BE237" s="32">
        <v>0</v>
      </c>
      <c r="BF237" s="32">
        <f>235</f>
        <v>235</v>
      </c>
      <c r="BH237" s="17">
        <f>G237*AO237</f>
        <v>0</v>
      </c>
      <c r="BI237" s="17">
        <f>G237*AP237</f>
        <v>0</v>
      </c>
      <c r="BJ237" s="17">
        <f>G237*H237</f>
        <v>0</v>
      </c>
    </row>
    <row r="238" spans="1:62" x14ac:dyDescent="0.2">
      <c r="C238" s="58" t="s">
        <v>511</v>
      </c>
      <c r="D238" s="59"/>
      <c r="E238" s="59"/>
      <c r="G238" s="16">
        <v>5</v>
      </c>
    </row>
    <row r="239" spans="1:62" x14ac:dyDescent="0.2">
      <c r="A239" s="6" t="s">
        <v>87</v>
      </c>
      <c r="B239" s="6" t="s">
        <v>236</v>
      </c>
      <c r="C239" s="68" t="s">
        <v>512</v>
      </c>
      <c r="D239" s="69"/>
      <c r="E239" s="69"/>
      <c r="F239" s="6" t="s">
        <v>671</v>
      </c>
      <c r="G239" s="17">
        <v>10</v>
      </c>
      <c r="H239" s="17">
        <v>0</v>
      </c>
      <c r="I239" s="17">
        <f>G239*AO239</f>
        <v>0</v>
      </c>
      <c r="J239" s="17">
        <f>G239*AP239</f>
        <v>0</v>
      </c>
      <c r="K239" s="17">
        <f>G239*H239</f>
        <v>0</v>
      </c>
      <c r="L239" s="29"/>
      <c r="Z239" s="32">
        <f>IF(AQ239="5",BJ239,0)</f>
        <v>0</v>
      </c>
      <c r="AB239" s="32">
        <f>IF(AQ239="1",BH239,0)</f>
        <v>0</v>
      </c>
      <c r="AC239" s="32">
        <f>IF(AQ239="1",BI239,0)</f>
        <v>0</v>
      </c>
      <c r="AD239" s="32">
        <f>IF(AQ239="7",BH239,0)</f>
        <v>0</v>
      </c>
      <c r="AE239" s="32">
        <f>IF(AQ239="7",BI239,0)</f>
        <v>0</v>
      </c>
      <c r="AF239" s="32">
        <f>IF(AQ239="2",BH239,0)</f>
        <v>0</v>
      </c>
      <c r="AG239" s="32">
        <f>IF(AQ239="2",BI239,0)</f>
        <v>0</v>
      </c>
      <c r="AH239" s="32">
        <f>IF(AQ239="0",BJ239,0)</f>
        <v>0</v>
      </c>
      <c r="AI239" s="28"/>
      <c r="AJ239" s="17">
        <f>IF(AN239=0,K239,0)</f>
        <v>0</v>
      </c>
      <c r="AK239" s="17">
        <f>IF(AN239=15,K239,0)</f>
        <v>0</v>
      </c>
      <c r="AL239" s="17">
        <f>IF(AN239=21,K239,0)</f>
        <v>0</v>
      </c>
      <c r="AN239" s="32">
        <v>21</v>
      </c>
      <c r="AO239" s="32">
        <f>H239*1</f>
        <v>0</v>
      </c>
      <c r="AP239" s="32">
        <f>H239*(1-1)</f>
        <v>0</v>
      </c>
      <c r="AQ239" s="29" t="s">
        <v>13</v>
      </c>
      <c r="AV239" s="32">
        <f>AW239+AX239</f>
        <v>0</v>
      </c>
      <c r="AW239" s="32">
        <f>G239*AO239</f>
        <v>0</v>
      </c>
      <c r="AX239" s="32">
        <f>G239*AP239</f>
        <v>0</v>
      </c>
      <c r="AY239" s="33" t="s">
        <v>720</v>
      </c>
      <c r="AZ239" s="33" t="s">
        <v>736</v>
      </c>
      <c r="BA239" s="28" t="s">
        <v>739</v>
      </c>
      <c r="BC239" s="32">
        <f>AW239+AX239</f>
        <v>0</v>
      </c>
      <c r="BD239" s="32">
        <f>H239/(100-BE239)*100</f>
        <v>0</v>
      </c>
      <c r="BE239" s="32">
        <v>0</v>
      </c>
      <c r="BF239" s="32">
        <f>237</f>
        <v>237</v>
      </c>
      <c r="BH239" s="17">
        <f>G239*AO239</f>
        <v>0</v>
      </c>
      <c r="BI239" s="17">
        <f>G239*AP239</f>
        <v>0</v>
      </c>
      <c r="BJ239" s="17">
        <f>G239*H239</f>
        <v>0</v>
      </c>
    </row>
    <row r="240" spans="1:62" x14ac:dyDescent="0.2">
      <c r="C240" s="58" t="s">
        <v>513</v>
      </c>
      <c r="D240" s="59"/>
      <c r="E240" s="59"/>
      <c r="G240" s="16">
        <v>10</v>
      </c>
    </row>
    <row r="241" spans="1:62" x14ac:dyDescent="0.2">
      <c r="A241" s="6" t="s">
        <v>88</v>
      </c>
      <c r="B241" s="6" t="s">
        <v>237</v>
      </c>
      <c r="C241" s="68" t="s">
        <v>514</v>
      </c>
      <c r="D241" s="69"/>
      <c r="E241" s="69"/>
      <c r="F241" s="6" t="s">
        <v>671</v>
      </c>
      <c r="G241" s="17">
        <v>1</v>
      </c>
      <c r="H241" s="17">
        <v>0</v>
      </c>
      <c r="I241" s="17">
        <f>G241*AO241</f>
        <v>0</v>
      </c>
      <c r="J241" s="17">
        <f>G241*AP241</f>
        <v>0</v>
      </c>
      <c r="K241" s="17">
        <f>G241*H241</f>
        <v>0</v>
      </c>
      <c r="L241" s="29"/>
      <c r="Z241" s="32">
        <f>IF(AQ241="5",BJ241,0)</f>
        <v>0</v>
      </c>
      <c r="AB241" s="32">
        <f>IF(AQ241="1",BH241,0)</f>
        <v>0</v>
      </c>
      <c r="AC241" s="32">
        <f>IF(AQ241="1",BI241,0)</f>
        <v>0</v>
      </c>
      <c r="AD241" s="32">
        <f>IF(AQ241="7",BH241,0)</f>
        <v>0</v>
      </c>
      <c r="AE241" s="32">
        <f>IF(AQ241="7",BI241,0)</f>
        <v>0</v>
      </c>
      <c r="AF241" s="32">
        <f>IF(AQ241="2",BH241,0)</f>
        <v>0</v>
      </c>
      <c r="AG241" s="32">
        <f>IF(AQ241="2",BI241,0)</f>
        <v>0</v>
      </c>
      <c r="AH241" s="32">
        <f>IF(AQ241="0",BJ241,0)</f>
        <v>0</v>
      </c>
      <c r="AI241" s="28"/>
      <c r="AJ241" s="17">
        <f>IF(AN241=0,K241,0)</f>
        <v>0</v>
      </c>
      <c r="AK241" s="17">
        <f>IF(AN241=15,K241,0)</f>
        <v>0</v>
      </c>
      <c r="AL241" s="17">
        <f>IF(AN241=21,K241,0)</f>
        <v>0</v>
      </c>
      <c r="AN241" s="32">
        <v>21</v>
      </c>
      <c r="AO241" s="32">
        <f>H241*1</f>
        <v>0</v>
      </c>
      <c r="AP241" s="32">
        <f>H241*(1-1)</f>
        <v>0</v>
      </c>
      <c r="AQ241" s="29" t="s">
        <v>13</v>
      </c>
      <c r="AV241" s="32">
        <f>AW241+AX241</f>
        <v>0</v>
      </c>
      <c r="AW241" s="32">
        <f>G241*AO241</f>
        <v>0</v>
      </c>
      <c r="AX241" s="32">
        <f>G241*AP241</f>
        <v>0</v>
      </c>
      <c r="AY241" s="33" t="s">
        <v>720</v>
      </c>
      <c r="AZ241" s="33" t="s">
        <v>736</v>
      </c>
      <c r="BA241" s="28" t="s">
        <v>739</v>
      </c>
      <c r="BC241" s="32">
        <f>AW241+AX241</f>
        <v>0</v>
      </c>
      <c r="BD241" s="32">
        <f>H241/(100-BE241)*100</f>
        <v>0</v>
      </c>
      <c r="BE241" s="32">
        <v>0</v>
      </c>
      <c r="BF241" s="32">
        <f>239</f>
        <v>239</v>
      </c>
      <c r="BH241" s="17">
        <f>G241*AO241</f>
        <v>0</v>
      </c>
      <c r="BI241" s="17">
        <f>G241*AP241</f>
        <v>0</v>
      </c>
      <c r="BJ241" s="17">
        <f>G241*H241</f>
        <v>0</v>
      </c>
    </row>
    <row r="242" spans="1:62" x14ac:dyDescent="0.2">
      <c r="C242" s="58" t="s">
        <v>515</v>
      </c>
      <c r="D242" s="59"/>
      <c r="E242" s="59"/>
      <c r="G242" s="16">
        <v>1</v>
      </c>
    </row>
    <row r="243" spans="1:62" x14ac:dyDescent="0.2">
      <c r="A243" s="6" t="s">
        <v>89</v>
      </c>
      <c r="B243" s="6" t="s">
        <v>238</v>
      </c>
      <c r="C243" s="68" t="s">
        <v>516</v>
      </c>
      <c r="D243" s="69"/>
      <c r="E243" s="69"/>
      <c r="F243" s="6" t="s">
        <v>671</v>
      </c>
      <c r="G243" s="17">
        <v>1</v>
      </c>
      <c r="H243" s="17">
        <v>0</v>
      </c>
      <c r="I243" s="17">
        <f>G243*AO243</f>
        <v>0</v>
      </c>
      <c r="J243" s="17">
        <f>G243*AP243</f>
        <v>0</v>
      </c>
      <c r="K243" s="17">
        <f>G243*H243</f>
        <v>0</v>
      </c>
      <c r="L243" s="29"/>
      <c r="Z243" s="32">
        <f>IF(AQ243="5",BJ243,0)</f>
        <v>0</v>
      </c>
      <c r="AB243" s="32">
        <f>IF(AQ243="1",BH243,0)</f>
        <v>0</v>
      </c>
      <c r="AC243" s="32">
        <f>IF(AQ243="1",BI243,0)</f>
        <v>0</v>
      </c>
      <c r="AD243" s="32">
        <f>IF(AQ243="7",BH243,0)</f>
        <v>0</v>
      </c>
      <c r="AE243" s="32">
        <f>IF(AQ243="7",BI243,0)</f>
        <v>0</v>
      </c>
      <c r="AF243" s="32">
        <f>IF(AQ243="2",BH243,0)</f>
        <v>0</v>
      </c>
      <c r="AG243" s="32">
        <f>IF(AQ243="2",BI243,0)</f>
        <v>0</v>
      </c>
      <c r="AH243" s="32">
        <f>IF(AQ243="0",BJ243,0)</f>
        <v>0</v>
      </c>
      <c r="AI243" s="28"/>
      <c r="AJ243" s="17">
        <f>IF(AN243=0,K243,0)</f>
        <v>0</v>
      </c>
      <c r="AK243" s="17">
        <f>IF(AN243=15,K243,0)</f>
        <v>0</v>
      </c>
      <c r="AL243" s="17">
        <f>IF(AN243=21,K243,0)</f>
        <v>0</v>
      </c>
      <c r="AN243" s="32">
        <v>21</v>
      </c>
      <c r="AO243" s="32">
        <f>H243*1</f>
        <v>0</v>
      </c>
      <c r="AP243" s="32">
        <f>H243*(1-1)</f>
        <v>0</v>
      </c>
      <c r="AQ243" s="29" t="s">
        <v>13</v>
      </c>
      <c r="AV243" s="32">
        <f>AW243+AX243</f>
        <v>0</v>
      </c>
      <c r="AW243" s="32">
        <f>G243*AO243</f>
        <v>0</v>
      </c>
      <c r="AX243" s="32">
        <f>G243*AP243</f>
        <v>0</v>
      </c>
      <c r="AY243" s="33" t="s">
        <v>720</v>
      </c>
      <c r="AZ243" s="33" t="s">
        <v>736</v>
      </c>
      <c r="BA243" s="28" t="s">
        <v>739</v>
      </c>
      <c r="BC243" s="32">
        <f>AW243+AX243</f>
        <v>0</v>
      </c>
      <c r="BD243" s="32">
        <f>H243/(100-BE243)*100</f>
        <v>0</v>
      </c>
      <c r="BE243" s="32">
        <v>0</v>
      </c>
      <c r="BF243" s="32">
        <f>241</f>
        <v>241</v>
      </c>
      <c r="BH243" s="17">
        <f>G243*AO243</f>
        <v>0</v>
      </c>
      <c r="BI243" s="17">
        <f>G243*AP243</f>
        <v>0</v>
      </c>
      <c r="BJ243" s="17">
        <f>G243*H243</f>
        <v>0</v>
      </c>
    </row>
    <row r="244" spans="1:62" x14ac:dyDescent="0.2">
      <c r="C244" s="58" t="s">
        <v>517</v>
      </c>
      <c r="D244" s="59"/>
      <c r="E244" s="59"/>
      <c r="G244" s="16">
        <v>1</v>
      </c>
    </row>
    <row r="245" spans="1:62" x14ac:dyDescent="0.2">
      <c r="A245" s="6" t="s">
        <v>90</v>
      </c>
      <c r="B245" s="6" t="s">
        <v>239</v>
      </c>
      <c r="C245" s="68" t="s">
        <v>518</v>
      </c>
      <c r="D245" s="69"/>
      <c r="E245" s="69"/>
      <c r="F245" s="6" t="s">
        <v>671</v>
      </c>
      <c r="G245" s="17">
        <v>1</v>
      </c>
      <c r="H245" s="17">
        <v>0</v>
      </c>
      <c r="I245" s="17">
        <f>G245*AO245</f>
        <v>0</v>
      </c>
      <c r="J245" s="17">
        <f>G245*AP245</f>
        <v>0</v>
      </c>
      <c r="K245" s="17">
        <f>G245*H245</f>
        <v>0</v>
      </c>
      <c r="L245" s="29"/>
      <c r="Z245" s="32">
        <f>IF(AQ245="5",BJ245,0)</f>
        <v>0</v>
      </c>
      <c r="AB245" s="32">
        <f>IF(AQ245="1",BH245,0)</f>
        <v>0</v>
      </c>
      <c r="AC245" s="32">
        <f>IF(AQ245="1",BI245,0)</f>
        <v>0</v>
      </c>
      <c r="AD245" s="32">
        <f>IF(AQ245="7",BH245,0)</f>
        <v>0</v>
      </c>
      <c r="AE245" s="32">
        <f>IF(AQ245="7",BI245,0)</f>
        <v>0</v>
      </c>
      <c r="AF245" s="32">
        <f>IF(AQ245="2",BH245,0)</f>
        <v>0</v>
      </c>
      <c r="AG245" s="32">
        <f>IF(AQ245="2",BI245,0)</f>
        <v>0</v>
      </c>
      <c r="AH245" s="32">
        <f>IF(AQ245="0",BJ245,0)</f>
        <v>0</v>
      </c>
      <c r="AI245" s="28"/>
      <c r="AJ245" s="17">
        <f>IF(AN245=0,K245,0)</f>
        <v>0</v>
      </c>
      <c r="AK245" s="17">
        <f>IF(AN245=15,K245,0)</f>
        <v>0</v>
      </c>
      <c r="AL245" s="17">
        <f>IF(AN245=21,K245,0)</f>
        <v>0</v>
      </c>
      <c r="AN245" s="32">
        <v>21</v>
      </c>
      <c r="AO245" s="32">
        <f>H245*1</f>
        <v>0</v>
      </c>
      <c r="AP245" s="32">
        <f>H245*(1-1)</f>
        <v>0</v>
      </c>
      <c r="AQ245" s="29" t="s">
        <v>13</v>
      </c>
      <c r="AV245" s="32">
        <f>AW245+AX245</f>
        <v>0</v>
      </c>
      <c r="AW245" s="32">
        <f>G245*AO245</f>
        <v>0</v>
      </c>
      <c r="AX245" s="32">
        <f>G245*AP245</f>
        <v>0</v>
      </c>
      <c r="AY245" s="33" t="s">
        <v>720</v>
      </c>
      <c r="AZ245" s="33" t="s">
        <v>736</v>
      </c>
      <c r="BA245" s="28" t="s">
        <v>739</v>
      </c>
      <c r="BC245" s="32">
        <f>AW245+AX245</f>
        <v>0</v>
      </c>
      <c r="BD245" s="32">
        <f>H245/(100-BE245)*100</f>
        <v>0</v>
      </c>
      <c r="BE245" s="32">
        <v>0</v>
      </c>
      <c r="BF245" s="32">
        <f>243</f>
        <v>243</v>
      </c>
      <c r="BH245" s="17">
        <f>G245*AO245</f>
        <v>0</v>
      </c>
      <c r="BI245" s="17">
        <f>G245*AP245</f>
        <v>0</v>
      </c>
      <c r="BJ245" s="17">
        <f>G245*H245</f>
        <v>0</v>
      </c>
    </row>
    <row r="246" spans="1:62" x14ac:dyDescent="0.2">
      <c r="C246" s="58" t="s">
        <v>519</v>
      </c>
      <c r="D246" s="59"/>
      <c r="E246" s="59"/>
      <c r="G246" s="16">
        <v>1</v>
      </c>
    </row>
    <row r="247" spans="1:62" x14ac:dyDescent="0.2">
      <c r="A247" s="6" t="s">
        <v>91</v>
      </c>
      <c r="B247" s="6" t="s">
        <v>240</v>
      </c>
      <c r="C247" s="68" t="s">
        <v>520</v>
      </c>
      <c r="D247" s="69"/>
      <c r="E247" s="69"/>
      <c r="F247" s="6" t="s">
        <v>671</v>
      </c>
      <c r="G247" s="17">
        <v>1</v>
      </c>
      <c r="H247" s="17">
        <v>0</v>
      </c>
      <c r="I247" s="17">
        <f>G247*AO247</f>
        <v>0</v>
      </c>
      <c r="J247" s="17">
        <f>G247*AP247</f>
        <v>0</v>
      </c>
      <c r="K247" s="17">
        <f>G247*H247</f>
        <v>0</v>
      </c>
      <c r="L247" s="29"/>
      <c r="Z247" s="32">
        <f>IF(AQ247="5",BJ247,0)</f>
        <v>0</v>
      </c>
      <c r="AB247" s="32">
        <f>IF(AQ247="1",BH247,0)</f>
        <v>0</v>
      </c>
      <c r="AC247" s="32">
        <f>IF(AQ247="1",BI247,0)</f>
        <v>0</v>
      </c>
      <c r="AD247" s="32">
        <f>IF(AQ247="7",BH247,0)</f>
        <v>0</v>
      </c>
      <c r="AE247" s="32">
        <f>IF(AQ247="7",BI247,0)</f>
        <v>0</v>
      </c>
      <c r="AF247" s="32">
        <f>IF(AQ247="2",BH247,0)</f>
        <v>0</v>
      </c>
      <c r="AG247" s="32">
        <f>IF(AQ247="2",BI247,0)</f>
        <v>0</v>
      </c>
      <c r="AH247" s="32">
        <f>IF(AQ247="0",BJ247,0)</f>
        <v>0</v>
      </c>
      <c r="AI247" s="28"/>
      <c r="AJ247" s="17">
        <f>IF(AN247=0,K247,0)</f>
        <v>0</v>
      </c>
      <c r="AK247" s="17">
        <f>IF(AN247=15,K247,0)</f>
        <v>0</v>
      </c>
      <c r="AL247" s="17">
        <f>IF(AN247=21,K247,0)</f>
        <v>0</v>
      </c>
      <c r="AN247" s="32">
        <v>21</v>
      </c>
      <c r="AO247" s="32">
        <f>H247*1</f>
        <v>0</v>
      </c>
      <c r="AP247" s="32">
        <f>H247*(1-1)</f>
        <v>0</v>
      </c>
      <c r="AQ247" s="29" t="s">
        <v>13</v>
      </c>
      <c r="AV247" s="32">
        <f>AW247+AX247</f>
        <v>0</v>
      </c>
      <c r="AW247" s="32">
        <f>G247*AO247</f>
        <v>0</v>
      </c>
      <c r="AX247" s="32">
        <f>G247*AP247</f>
        <v>0</v>
      </c>
      <c r="AY247" s="33" t="s">
        <v>720</v>
      </c>
      <c r="AZ247" s="33" t="s">
        <v>736</v>
      </c>
      <c r="BA247" s="28" t="s">
        <v>739</v>
      </c>
      <c r="BC247" s="32">
        <f>AW247+AX247</f>
        <v>0</v>
      </c>
      <c r="BD247" s="32">
        <f>H247/(100-BE247)*100</f>
        <v>0</v>
      </c>
      <c r="BE247" s="32">
        <v>0</v>
      </c>
      <c r="BF247" s="32">
        <f>245</f>
        <v>245</v>
      </c>
      <c r="BH247" s="17">
        <f>G247*AO247</f>
        <v>0</v>
      </c>
      <c r="BI247" s="17">
        <f>G247*AP247</f>
        <v>0</v>
      </c>
      <c r="BJ247" s="17">
        <f>G247*H247</f>
        <v>0</v>
      </c>
    </row>
    <row r="248" spans="1:62" x14ac:dyDescent="0.2">
      <c r="C248" s="58" t="s">
        <v>521</v>
      </c>
      <c r="D248" s="59"/>
      <c r="E248" s="59"/>
      <c r="G248" s="16">
        <v>1</v>
      </c>
    </row>
    <row r="249" spans="1:62" x14ac:dyDescent="0.2">
      <c r="A249" s="4" t="s">
        <v>92</v>
      </c>
      <c r="B249" s="4" t="s">
        <v>241</v>
      </c>
      <c r="C249" s="60" t="s">
        <v>522</v>
      </c>
      <c r="D249" s="61"/>
      <c r="E249" s="61"/>
      <c r="F249" s="4" t="s">
        <v>672</v>
      </c>
      <c r="G249" s="15">
        <v>8.8155699999999992</v>
      </c>
      <c r="H249" s="15">
        <v>0</v>
      </c>
      <c r="I249" s="15">
        <f>G249*AO249</f>
        <v>0</v>
      </c>
      <c r="J249" s="15">
        <f>G249*AP249</f>
        <v>0</v>
      </c>
      <c r="K249" s="15">
        <f>G249*H249</f>
        <v>0</v>
      </c>
      <c r="L249" s="27" t="s">
        <v>690</v>
      </c>
      <c r="Z249" s="32">
        <f>IF(AQ249="5",BJ249,0)</f>
        <v>0</v>
      </c>
      <c r="AB249" s="32">
        <f>IF(AQ249="1",BH249,0)</f>
        <v>0</v>
      </c>
      <c r="AC249" s="32">
        <f>IF(AQ249="1",BI249,0)</f>
        <v>0</v>
      </c>
      <c r="AD249" s="32">
        <f>IF(AQ249="7",BH249,0)</f>
        <v>0</v>
      </c>
      <c r="AE249" s="32">
        <f>IF(AQ249="7",BI249,0)</f>
        <v>0</v>
      </c>
      <c r="AF249" s="32">
        <f>IF(AQ249="2",BH249,0)</f>
        <v>0</v>
      </c>
      <c r="AG249" s="32">
        <f>IF(AQ249="2",BI249,0)</f>
        <v>0</v>
      </c>
      <c r="AH249" s="32">
        <f>IF(AQ249="0",BJ249,0)</f>
        <v>0</v>
      </c>
      <c r="AI249" s="28"/>
      <c r="AJ249" s="15">
        <f>IF(AN249=0,K249,0)</f>
        <v>0</v>
      </c>
      <c r="AK249" s="15">
        <f>IF(AN249=15,K249,0)</f>
        <v>0</v>
      </c>
      <c r="AL249" s="15">
        <f>IF(AN249=21,K249,0)</f>
        <v>0</v>
      </c>
      <c r="AN249" s="32">
        <v>21</v>
      </c>
      <c r="AO249" s="32">
        <f>H249*0</f>
        <v>0</v>
      </c>
      <c r="AP249" s="32">
        <f>H249*(1-0)</f>
        <v>0</v>
      </c>
      <c r="AQ249" s="27" t="s">
        <v>11</v>
      </c>
      <c r="AV249" s="32">
        <f>AW249+AX249</f>
        <v>0</v>
      </c>
      <c r="AW249" s="32">
        <f>G249*AO249</f>
        <v>0</v>
      </c>
      <c r="AX249" s="32">
        <f>G249*AP249</f>
        <v>0</v>
      </c>
      <c r="AY249" s="33" t="s">
        <v>720</v>
      </c>
      <c r="AZ249" s="33" t="s">
        <v>736</v>
      </c>
      <c r="BA249" s="28" t="s">
        <v>739</v>
      </c>
      <c r="BC249" s="32">
        <f>AW249+AX249</f>
        <v>0</v>
      </c>
      <c r="BD249" s="32">
        <f>H249/(100-BE249)*100</f>
        <v>0</v>
      </c>
      <c r="BE249" s="32">
        <v>0</v>
      </c>
      <c r="BF249" s="32">
        <f>247</f>
        <v>247</v>
      </c>
      <c r="BH249" s="15">
        <f>G249*AO249</f>
        <v>0</v>
      </c>
      <c r="BI249" s="15">
        <f>G249*AP249</f>
        <v>0</v>
      </c>
      <c r="BJ249" s="15">
        <f>G249*H249</f>
        <v>0</v>
      </c>
    </row>
    <row r="250" spans="1:62" x14ac:dyDescent="0.2">
      <c r="C250" s="58" t="s">
        <v>523</v>
      </c>
      <c r="D250" s="59"/>
      <c r="E250" s="59"/>
      <c r="G250" s="16">
        <v>8.8155699999999992</v>
      </c>
    </row>
    <row r="251" spans="1:62" x14ac:dyDescent="0.2">
      <c r="A251" s="5"/>
      <c r="B251" s="13" t="s">
        <v>242</v>
      </c>
      <c r="C251" s="66" t="s">
        <v>524</v>
      </c>
      <c r="D251" s="67"/>
      <c r="E251" s="67"/>
      <c r="F251" s="5" t="s">
        <v>6</v>
      </c>
      <c r="G251" s="5" t="s">
        <v>6</v>
      </c>
      <c r="H251" s="5" t="s">
        <v>6</v>
      </c>
      <c r="I251" s="35">
        <f>SUM(I252:I256)</f>
        <v>0</v>
      </c>
      <c r="J251" s="35">
        <f>SUM(J252:J256)</f>
        <v>0</v>
      </c>
      <c r="K251" s="35">
        <f>SUM(K252:K256)</f>
        <v>0</v>
      </c>
      <c r="L251" s="28"/>
      <c r="AI251" s="28"/>
      <c r="AS251" s="35">
        <f>SUM(AJ252:AJ256)</f>
        <v>0</v>
      </c>
      <c r="AT251" s="35">
        <f>SUM(AK252:AK256)</f>
        <v>0</v>
      </c>
      <c r="AU251" s="35">
        <f>SUM(AL252:AL256)</f>
        <v>0</v>
      </c>
    </row>
    <row r="252" spans="1:62" x14ac:dyDescent="0.2">
      <c r="A252" s="4" t="s">
        <v>93</v>
      </c>
      <c r="B252" s="4" t="s">
        <v>243</v>
      </c>
      <c r="C252" s="60" t="s">
        <v>525</v>
      </c>
      <c r="D252" s="61"/>
      <c r="E252" s="61"/>
      <c r="F252" s="4" t="s">
        <v>671</v>
      </c>
      <c r="G252" s="15">
        <v>1</v>
      </c>
      <c r="H252" s="15">
        <v>0</v>
      </c>
      <c r="I252" s="15">
        <f>G252*AO252</f>
        <v>0</v>
      </c>
      <c r="J252" s="15">
        <f>G252*AP252</f>
        <v>0</v>
      </c>
      <c r="K252" s="15">
        <f>G252*H252</f>
        <v>0</v>
      </c>
      <c r="L252" s="27"/>
      <c r="Z252" s="32">
        <f>IF(AQ252="5",BJ252,0)</f>
        <v>0</v>
      </c>
      <c r="AB252" s="32">
        <f>IF(AQ252="1",BH252,0)</f>
        <v>0</v>
      </c>
      <c r="AC252" s="32">
        <f>IF(AQ252="1",BI252,0)</f>
        <v>0</v>
      </c>
      <c r="AD252" s="32">
        <f>IF(AQ252="7",BH252,0)</f>
        <v>0</v>
      </c>
      <c r="AE252" s="32">
        <f>IF(AQ252="7",BI252,0)</f>
        <v>0</v>
      </c>
      <c r="AF252" s="32">
        <f>IF(AQ252="2",BH252,0)</f>
        <v>0</v>
      </c>
      <c r="AG252" s="32">
        <f>IF(AQ252="2",BI252,0)</f>
        <v>0</v>
      </c>
      <c r="AH252" s="32">
        <f>IF(AQ252="0",BJ252,0)</f>
        <v>0</v>
      </c>
      <c r="AI252" s="28"/>
      <c r="AJ252" s="15">
        <f>IF(AN252=0,K252,0)</f>
        <v>0</v>
      </c>
      <c r="AK252" s="15">
        <f>IF(AN252=15,K252,0)</f>
        <v>0</v>
      </c>
      <c r="AL252" s="15">
        <f>IF(AN252=21,K252,0)</f>
        <v>0</v>
      </c>
      <c r="AN252" s="32">
        <v>21</v>
      </c>
      <c r="AO252" s="32">
        <f>H252*0.333334</f>
        <v>0</v>
      </c>
      <c r="AP252" s="32">
        <f>H252*(1-0.333334)</f>
        <v>0</v>
      </c>
      <c r="AQ252" s="27" t="s">
        <v>13</v>
      </c>
      <c r="AV252" s="32">
        <f>AW252+AX252</f>
        <v>0</v>
      </c>
      <c r="AW252" s="32">
        <f>G252*AO252</f>
        <v>0</v>
      </c>
      <c r="AX252" s="32">
        <f>G252*AP252</f>
        <v>0</v>
      </c>
      <c r="AY252" s="33" t="s">
        <v>721</v>
      </c>
      <c r="AZ252" s="33" t="s">
        <v>736</v>
      </c>
      <c r="BA252" s="28" t="s">
        <v>739</v>
      </c>
      <c r="BC252" s="32">
        <f>AW252+AX252</f>
        <v>0</v>
      </c>
      <c r="BD252" s="32">
        <f>H252/(100-BE252)*100</f>
        <v>0</v>
      </c>
      <c r="BE252" s="32">
        <v>0</v>
      </c>
      <c r="BF252" s="32">
        <f>250</f>
        <v>250</v>
      </c>
      <c r="BH252" s="15">
        <f>G252*AO252</f>
        <v>0</v>
      </c>
      <c r="BI252" s="15">
        <f>G252*AP252</f>
        <v>0</v>
      </c>
      <c r="BJ252" s="15">
        <f>G252*H252</f>
        <v>0</v>
      </c>
    </row>
    <row r="253" spans="1:62" x14ac:dyDescent="0.2">
      <c r="C253" s="58" t="s">
        <v>526</v>
      </c>
      <c r="D253" s="59"/>
      <c r="E253" s="59"/>
      <c r="G253" s="16">
        <v>1</v>
      </c>
    </row>
    <row r="254" spans="1:62" x14ac:dyDescent="0.2">
      <c r="A254" s="4" t="s">
        <v>94</v>
      </c>
      <c r="B254" s="4" t="s">
        <v>244</v>
      </c>
      <c r="C254" s="60" t="s">
        <v>527</v>
      </c>
      <c r="D254" s="61"/>
      <c r="E254" s="61"/>
      <c r="F254" s="4" t="s">
        <v>671</v>
      </c>
      <c r="G254" s="15">
        <v>2</v>
      </c>
      <c r="H254" s="15">
        <v>0</v>
      </c>
      <c r="I254" s="15">
        <f>G254*AO254</f>
        <v>0</v>
      </c>
      <c r="J254" s="15">
        <f>G254*AP254</f>
        <v>0</v>
      </c>
      <c r="K254" s="15">
        <f>G254*H254</f>
        <v>0</v>
      </c>
      <c r="L254" s="27"/>
      <c r="Z254" s="32">
        <f>IF(AQ254="5",BJ254,0)</f>
        <v>0</v>
      </c>
      <c r="AB254" s="32">
        <f>IF(AQ254="1",BH254,0)</f>
        <v>0</v>
      </c>
      <c r="AC254" s="32">
        <f>IF(AQ254="1",BI254,0)</f>
        <v>0</v>
      </c>
      <c r="AD254" s="32">
        <f>IF(AQ254="7",BH254,0)</f>
        <v>0</v>
      </c>
      <c r="AE254" s="32">
        <f>IF(AQ254="7",BI254,0)</f>
        <v>0</v>
      </c>
      <c r="AF254" s="32">
        <f>IF(AQ254="2",BH254,0)</f>
        <v>0</v>
      </c>
      <c r="AG254" s="32">
        <f>IF(AQ254="2",BI254,0)</f>
        <v>0</v>
      </c>
      <c r="AH254" s="32">
        <f>IF(AQ254="0",BJ254,0)</f>
        <v>0</v>
      </c>
      <c r="AI254" s="28"/>
      <c r="AJ254" s="15">
        <f>IF(AN254=0,K254,0)</f>
        <v>0</v>
      </c>
      <c r="AK254" s="15">
        <f>IF(AN254=15,K254,0)</f>
        <v>0</v>
      </c>
      <c r="AL254" s="15">
        <f>IF(AN254=21,K254,0)</f>
        <v>0</v>
      </c>
      <c r="AN254" s="32">
        <v>21</v>
      </c>
      <c r="AO254" s="32">
        <f>H254*0.75</f>
        <v>0</v>
      </c>
      <c r="AP254" s="32">
        <f>H254*(1-0.75)</f>
        <v>0</v>
      </c>
      <c r="AQ254" s="27" t="s">
        <v>13</v>
      </c>
      <c r="AV254" s="32">
        <f>AW254+AX254</f>
        <v>0</v>
      </c>
      <c r="AW254" s="32">
        <f>G254*AO254</f>
        <v>0</v>
      </c>
      <c r="AX254" s="32">
        <f>G254*AP254</f>
        <v>0</v>
      </c>
      <c r="AY254" s="33" t="s">
        <v>721</v>
      </c>
      <c r="AZ254" s="33" t="s">
        <v>736</v>
      </c>
      <c r="BA254" s="28" t="s">
        <v>739</v>
      </c>
      <c r="BC254" s="32">
        <f>AW254+AX254</f>
        <v>0</v>
      </c>
      <c r="BD254" s="32">
        <f>H254/(100-BE254)*100</f>
        <v>0</v>
      </c>
      <c r="BE254" s="32">
        <v>0</v>
      </c>
      <c r="BF254" s="32">
        <f>252</f>
        <v>252</v>
      </c>
      <c r="BH254" s="15">
        <f>G254*AO254</f>
        <v>0</v>
      </c>
      <c r="BI254" s="15">
        <f>G254*AP254</f>
        <v>0</v>
      </c>
      <c r="BJ254" s="15">
        <f>G254*H254</f>
        <v>0</v>
      </c>
    </row>
    <row r="255" spans="1:62" x14ac:dyDescent="0.2">
      <c r="C255" s="58" t="s">
        <v>528</v>
      </c>
      <c r="D255" s="59"/>
      <c r="E255" s="59"/>
      <c r="G255" s="16">
        <v>2</v>
      </c>
    </row>
    <row r="256" spans="1:62" x14ac:dyDescent="0.2">
      <c r="A256" s="4" t="s">
        <v>95</v>
      </c>
      <c r="B256" s="4" t="s">
        <v>245</v>
      </c>
      <c r="C256" s="60" t="s">
        <v>529</v>
      </c>
      <c r="D256" s="61"/>
      <c r="E256" s="61"/>
      <c r="F256" s="4" t="s">
        <v>672</v>
      </c>
      <c r="G256" s="15">
        <v>0.1</v>
      </c>
      <c r="H256" s="15">
        <v>0</v>
      </c>
      <c r="I256" s="15">
        <f>G256*AO256</f>
        <v>0</v>
      </c>
      <c r="J256" s="15">
        <f>G256*AP256</f>
        <v>0</v>
      </c>
      <c r="K256" s="15">
        <f>G256*H256</f>
        <v>0</v>
      </c>
      <c r="L256" s="27" t="s">
        <v>690</v>
      </c>
      <c r="Z256" s="32">
        <f>IF(AQ256="5",BJ256,0)</f>
        <v>0</v>
      </c>
      <c r="AB256" s="32">
        <f>IF(AQ256="1",BH256,0)</f>
        <v>0</v>
      </c>
      <c r="AC256" s="32">
        <f>IF(AQ256="1",BI256,0)</f>
        <v>0</v>
      </c>
      <c r="AD256" s="32">
        <f>IF(AQ256="7",BH256,0)</f>
        <v>0</v>
      </c>
      <c r="AE256" s="32">
        <f>IF(AQ256="7",BI256,0)</f>
        <v>0</v>
      </c>
      <c r="AF256" s="32">
        <f>IF(AQ256="2",BH256,0)</f>
        <v>0</v>
      </c>
      <c r="AG256" s="32">
        <f>IF(AQ256="2",BI256,0)</f>
        <v>0</v>
      </c>
      <c r="AH256" s="32">
        <f>IF(AQ256="0",BJ256,0)</f>
        <v>0</v>
      </c>
      <c r="AI256" s="28"/>
      <c r="AJ256" s="15">
        <f>IF(AN256=0,K256,0)</f>
        <v>0</v>
      </c>
      <c r="AK256" s="15">
        <f>IF(AN256=15,K256,0)</f>
        <v>0</v>
      </c>
      <c r="AL256" s="15">
        <f>IF(AN256=21,K256,0)</f>
        <v>0</v>
      </c>
      <c r="AN256" s="32">
        <v>21</v>
      </c>
      <c r="AO256" s="32">
        <f>H256*0</f>
        <v>0</v>
      </c>
      <c r="AP256" s="32">
        <f>H256*(1-0)</f>
        <v>0</v>
      </c>
      <c r="AQ256" s="27" t="s">
        <v>11</v>
      </c>
      <c r="AV256" s="32">
        <f>AW256+AX256</f>
        <v>0</v>
      </c>
      <c r="AW256" s="32">
        <f>G256*AO256</f>
        <v>0</v>
      </c>
      <c r="AX256" s="32">
        <f>G256*AP256</f>
        <v>0</v>
      </c>
      <c r="AY256" s="33" t="s">
        <v>721</v>
      </c>
      <c r="AZ256" s="33" t="s">
        <v>736</v>
      </c>
      <c r="BA256" s="28" t="s">
        <v>739</v>
      </c>
      <c r="BC256" s="32">
        <f>AW256+AX256</f>
        <v>0</v>
      </c>
      <c r="BD256" s="32">
        <f>H256/(100-BE256)*100</f>
        <v>0</v>
      </c>
      <c r="BE256" s="32">
        <v>0</v>
      </c>
      <c r="BF256" s="32">
        <f>254</f>
        <v>254</v>
      </c>
      <c r="BH256" s="15">
        <f>G256*AO256</f>
        <v>0</v>
      </c>
      <c r="BI256" s="15">
        <f>G256*AP256</f>
        <v>0</v>
      </c>
      <c r="BJ256" s="15">
        <f>G256*H256</f>
        <v>0</v>
      </c>
    </row>
    <row r="257" spans="1:62" x14ac:dyDescent="0.2">
      <c r="C257" s="58" t="s">
        <v>530</v>
      </c>
      <c r="D257" s="59"/>
      <c r="E257" s="59"/>
      <c r="G257" s="16">
        <v>0.1</v>
      </c>
    </row>
    <row r="258" spans="1:62" x14ac:dyDescent="0.2">
      <c r="A258" s="5"/>
      <c r="B258" s="13" t="s">
        <v>246</v>
      </c>
      <c r="C258" s="66" t="s">
        <v>531</v>
      </c>
      <c r="D258" s="67"/>
      <c r="E258" s="67"/>
      <c r="F258" s="5" t="s">
        <v>6</v>
      </c>
      <c r="G258" s="5" t="s">
        <v>6</v>
      </c>
      <c r="H258" s="5" t="s">
        <v>6</v>
      </c>
      <c r="I258" s="35">
        <f>SUM(I259:I261)</f>
        <v>0</v>
      </c>
      <c r="J258" s="35">
        <f>SUM(J259:J261)</f>
        <v>0</v>
      </c>
      <c r="K258" s="35">
        <f>SUM(K259:K261)</f>
        <v>0</v>
      </c>
      <c r="L258" s="28"/>
      <c r="AI258" s="28"/>
      <c r="AS258" s="35">
        <f>SUM(AJ259:AJ261)</f>
        <v>0</v>
      </c>
      <c r="AT258" s="35">
        <f>SUM(AK259:AK261)</f>
        <v>0</v>
      </c>
      <c r="AU258" s="35">
        <f>SUM(AL259:AL261)</f>
        <v>0</v>
      </c>
    </row>
    <row r="259" spans="1:62" x14ac:dyDescent="0.2">
      <c r="A259" s="4" t="s">
        <v>96</v>
      </c>
      <c r="B259" s="4" t="s">
        <v>247</v>
      </c>
      <c r="C259" s="60" t="s">
        <v>532</v>
      </c>
      <c r="D259" s="61"/>
      <c r="E259" s="61"/>
      <c r="F259" s="4" t="s">
        <v>667</v>
      </c>
      <c r="G259" s="15">
        <v>195.70500000000001</v>
      </c>
      <c r="H259" s="15">
        <v>0</v>
      </c>
      <c r="I259" s="15">
        <f>G259*AO259</f>
        <v>0</v>
      </c>
      <c r="J259" s="15">
        <f>G259*AP259</f>
        <v>0</v>
      </c>
      <c r="K259" s="15">
        <f>G259*H259</f>
        <v>0</v>
      </c>
      <c r="L259" s="27" t="s">
        <v>690</v>
      </c>
      <c r="Z259" s="32">
        <f>IF(AQ259="5",BJ259,0)</f>
        <v>0</v>
      </c>
      <c r="AB259" s="32">
        <f>IF(AQ259="1",BH259,0)</f>
        <v>0</v>
      </c>
      <c r="AC259" s="32">
        <f>IF(AQ259="1",BI259,0)</f>
        <v>0</v>
      </c>
      <c r="AD259" s="32">
        <f>IF(AQ259="7",BH259,0)</f>
        <v>0</v>
      </c>
      <c r="AE259" s="32">
        <f>IF(AQ259="7",BI259,0)</f>
        <v>0</v>
      </c>
      <c r="AF259" s="32">
        <f>IF(AQ259="2",BH259,0)</f>
        <v>0</v>
      </c>
      <c r="AG259" s="32">
        <f>IF(AQ259="2",BI259,0)</f>
        <v>0</v>
      </c>
      <c r="AH259" s="32">
        <f>IF(AQ259="0",BJ259,0)</f>
        <v>0</v>
      </c>
      <c r="AI259" s="28"/>
      <c r="AJ259" s="15">
        <f>IF(AN259=0,K259,0)</f>
        <v>0</v>
      </c>
      <c r="AK259" s="15">
        <f>IF(AN259=15,K259,0)</f>
        <v>0</v>
      </c>
      <c r="AL259" s="15">
        <f>IF(AN259=21,K259,0)</f>
        <v>0</v>
      </c>
      <c r="AN259" s="32">
        <v>21</v>
      </c>
      <c r="AO259" s="32">
        <f>H259*0.0673956365121354</f>
        <v>0</v>
      </c>
      <c r="AP259" s="32">
        <f>H259*(1-0.0673956365121354)</f>
        <v>0</v>
      </c>
      <c r="AQ259" s="27" t="s">
        <v>13</v>
      </c>
      <c r="AV259" s="32">
        <f>AW259+AX259</f>
        <v>0</v>
      </c>
      <c r="AW259" s="32">
        <f>G259*AO259</f>
        <v>0</v>
      </c>
      <c r="AX259" s="32">
        <f>G259*AP259</f>
        <v>0</v>
      </c>
      <c r="AY259" s="33" t="s">
        <v>722</v>
      </c>
      <c r="AZ259" s="33" t="s">
        <v>737</v>
      </c>
      <c r="BA259" s="28" t="s">
        <v>739</v>
      </c>
      <c r="BC259" s="32">
        <f>AW259+AX259</f>
        <v>0</v>
      </c>
      <c r="BD259" s="32">
        <f>H259/(100-BE259)*100</f>
        <v>0</v>
      </c>
      <c r="BE259" s="32">
        <v>0</v>
      </c>
      <c r="BF259" s="32">
        <f>257</f>
        <v>257</v>
      </c>
      <c r="BH259" s="15">
        <f>G259*AO259</f>
        <v>0</v>
      </c>
      <c r="BI259" s="15">
        <f>G259*AP259</f>
        <v>0</v>
      </c>
      <c r="BJ259" s="15">
        <f>G259*H259</f>
        <v>0</v>
      </c>
    </row>
    <row r="260" spans="1:62" x14ac:dyDescent="0.2">
      <c r="C260" s="58" t="s">
        <v>533</v>
      </c>
      <c r="D260" s="59"/>
      <c r="E260" s="59"/>
      <c r="G260" s="16">
        <v>195.70500000000001</v>
      </c>
    </row>
    <row r="261" spans="1:62" x14ac:dyDescent="0.2">
      <c r="A261" s="4" t="s">
        <v>97</v>
      </c>
      <c r="B261" s="4" t="s">
        <v>248</v>
      </c>
      <c r="C261" s="60" t="s">
        <v>534</v>
      </c>
      <c r="D261" s="61"/>
      <c r="E261" s="61"/>
      <c r="F261" s="4" t="s">
        <v>667</v>
      </c>
      <c r="G261" s="15">
        <v>154.94</v>
      </c>
      <c r="H261" s="15">
        <v>0</v>
      </c>
      <c r="I261" s="15">
        <f>G261*AO261</f>
        <v>0</v>
      </c>
      <c r="J261" s="15">
        <f>G261*AP261</f>
        <v>0</v>
      </c>
      <c r="K261" s="15">
        <f>G261*H261</f>
        <v>0</v>
      </c>
      <c r="L261" s="27" t="s">
        <v>690</v>
      </c>
      <c r="Z261" s="32">
        <f>IF(AQ261="5",BJ261,0)</f>
        <v>0</v>
      </c>
      <c r="AB261" s="32">
        <f>IF(AQ261="1",BH261,0)</f>
        <v>0</v>
      </c>
      <c r="AC261" s="32">
        <f>IF(AQ261="1",BI261,0)</f>
        <v>0</v>
      </c>
      <c r="AD261" s="32">
        <f>IF(AQ261="7",BH261,0)</f>
        <v>0</v>
      </c>
      <c r="AE261" s="32">
        <f>IF(AQ261="7",BI261,0)</f>
        <v>0</v>
      </c>
      <c r="AF261" s="32">
        <f>IF(AQ261="2",BH261,0)</f>
        <v>0</v>
      </c>
      <c r="AG261" s="32">
        <f>IF(AQ261="2",BI261,0)</f>
        <v>0</v>
      </c>
      <c r="AH261" s="32">
        <f>IF(AQ261="0",BJ261,0)</f>
        <v>0</v>
      </c>
      <c r="AI261" s="28"/>
      <c r="AJ261" s="15">
        <f>IF(AN261=0,K261,0)</f>
        <v>0</v>
      </c>
      <c r="AK261" s="15">
        <f>IF(AN261=15,K261,0)</f>
        <v>0</v>
      </c>
      <c r="AL261" s="15">
        <f>IF(AN261=21,K261,0)</f>
        <v>0</v>
      </c>
      <c r="AN261" s="32">
        <v>21</v>
      </c>
      <c r="AO261" s="32">
        <f>H261*0.174903004627256</f>
        <v>0</v>
      </c>
      <c r="AP261" s="32">
        <f>H261*(1-0.174903004627256)</f>
        <v>0</v>
      </c>
      <c r="AQ261" s="27" t="s">
        <v>13</v>
      </c>
      <c r="AV261" s="32">
        <f>AW261+AX261</f>
        <v>0</v>
      </c>
      <c r="AW261" s="32">
        <f>G261*AO261</f>
        <v>0</v>
      </c>
      <c r="AX261" s="32">
        <f>G261*AP261</f>
        <v>0</v>
      </c>
      <c r="AY261" s="33" t="s">
        <v>722</v>
      </c>
      <c r="AZ261" s="33" t="s">
        <v>737</v>
      </c>
      <c r="BA261" s="28" t="s">
        <v>739</v>
      </c>
      <c r="BC261" s="32">
        <f>AW261+AX261</f>
        <v>0</v>
      </c>
      <c r="BD261" s="32">
        <f>H261/(100-BE261)*100</f>
        <v>0</v>
      </c>
      <c r="BE261" s="32">
        <v>0</v>
      </c>
      <c r="BF261" s="32">
        <f>259</f>
        <v>259</v>
      </c>
      <c r="BH261" s="15">
        <f>G261*AO261</f>
        <v>0</v>
      </c>
      <c r="BI261" s="15">
        <f>G261*AP261</f>
        <v>0</v>
      </c>
      <c r="BJ261" s="15">
        <f>G261*H261</f>
        <v>0</v>
      </c>
    </row>
    <row r="262" spans="1:62" x14ac:dyDescent="0.2">
      <c r="C262" s="58" t="s">
        <v>535</v>
      </c>
      <c r="D262" s="59"/>
      <c r="E262" s="59"/>
      <c r="G262" s="16">
        <v>9.57</v>
      </c>
    </row>
    <row r="263" spans="1:62" x14ac:dyDescent="0.2">
      <c r="C263" s="58" t="s">
        <v>536</v>
      </c>
      <c r="D263" s="59"/>
      <c r="E263" s="59"/>
      <c r="G263" s="16">
        <v>29.7</v>
      </c>
    </row>
    <row r="264" spans="1:62" x14ac:dyDescent="0.2">
      <c r="C264" s="58" t="s">
        <v>537</v>
      </c>
      <c r="D264" s="59"/>
      <c r="E264" s="59"/>
      <c r="G264" s="16">
        <v>38.200000000000003</v>
      </c>
    </row>
    <row r="265" spans="1:62" x14ac:dyDescent="0.2">
      <c r="C265" s="58" t="s">
        <v>538</v>
      </c>
      <c r="D265" s="59"/>
      <c r="E265" s="59"/>
      <c r="G265" s="16">
        <v>0</v>
      </c>
    </row>
    <row r="266" spans="1:62" x14ac:dyDescent="0.2">
      <c r="C266" s="58" t="s">
        <v>539</v>
      </c>
      <c r="D266" s="59"/>
      <c r="E266" s="59"/>
      <c r="G266" s="16">
        <v>77.47</v>
      </c>
    </row>
    <row r="267" spans="1:62" x14ac:dyDescent="0.2">
      <c r="A267" s="5"/>
      <c r="B267" s="13" t="s">
        <v>249</v>
      </c>
      <c r="C267" s="66" t="s">
        <v>540</v>
      </c>
      <c r="D267" s="67"/>
      <c r="E267" s="67"/>
      <c r="F267" s="5" t="s">
        <v>6</v>
      </c>
      <c r="G267" s="5" t="s">
        <v>6</v>
      </c>
      <c r="H267" s="5" t="s">
        <v>6</v>
      </c>
      <c r="I267" s="35">
        <f>SUM(I268:I268)</f>
        <v>0</v>
      </c>
      <c r="J267" s="35">
        <f>SUM(J268:J268)</f>
        <v>0</v>
      </c>
      <c r="K267" s="35">
        <f>SUM(K268:K268)</f>
        <v>0</v>
      </c>
      <c r="L267" s="28"/>
      <c r="AI267" s="28"/>
      <c r="AS267" s="35">
        <f>SUM(AJ268:AJ268)</f>
        <v>0</v>
      </c>
      <c r="AT267" s="35">
        <f>SUM(AK268:AK268)</f>
        <v>0</v>
      </c>
      <c r="AU267" s="35">
        <f>SUM(AL268:AL268)</f>
        <v>0</v>
      </c>
    </row>
    <row r="268" spans="1:62" x14ac:dyDescent="0.2">
      <c r="A268" s="4" t="s">
        <v>98</v>
      </c>
      <c r="B268" s="4" t="s">
        <v>250</v>
      </c>
      <c r="C268" s="60" t="s">
        <v>541</v>
      </c>
      <c r="D268" s="61"/>
      <c r="E268" s="61"/>
      <c r="F268" s="4" t="s">
        <v>667</v>
      </c>
      <c r="G268" s="15">
        <v>191.52</v>
      </c>
      <c r="H268" s="15">
        <v>0</v>
      </c>
      <c r="I268" s="15">
        <f>G268*AO268</f>
        <v>0</v>
      </c>
      <c r="J268" s="15">
        <f>G268*AP268</f>
        <v>0</v>
      </c>
      <c r="K268" s="15">
        <f>G268*H268</f>
        <v>0</v>
      </c>
      <c r="L268" s="27"/>
      <c r="Z268" s="32">
        <f>IF(AQ268="5",BJ268,0)</f>
        <v>0</v>
      </c>
      <c r="AB268" s="32">
        <f>IF(AQ268="1",BH268,0)</f>
        <v>0</v>
      </c>
      <c r="AC268" s="32">
        <f>IF(AQ268="1",BI268,0)</f>
        <v>0</v>
      </c>
      <c r="AD268" s="32">
        <f>IF(AQ268="7",BH268,0)</f>
        <v>0</v>
      </c>
      <c r="AE268" s="32">
        <f>IF(AQ268="7",BI268,0)</f>
        <v>0</v>
      </c>
      <c r="AF268" s="32">
        <f>IF(AQ268="2",BH268,0)</f>
        <v>0</v>
      </c>
      <c r="AG268" s="32">
        <f>IF(AQ268="2",BI268,0)</f>
        <v>0</v>
      </c>
      <c r="AH268" s="32">
        <f>IF(AQ268="0",BJ268,0)</f>
        <v>0</v>
      </c>
      <c r="AI268" s="28"/>
      <c r="AJ268" s="15">
        <f>IF(AN268=0,K268,0)</f>
        <v>0</v>
      </c>
      <c r="AK268" s="15">
        <f>IF(AN268=15,K268,0)</f>
        <v>0</v>
      </c>
      <c r="AL268" s="15">
        <f>IF(AN268=21,K268,0)</f>
        <v>0</v>
      </c>
      <c r="AN268" s="32">
        <v>21</v>
      </c>
      <c r="AO268" s="32">
        <f>H268*0.75</f>
        <v>0</v>
      </c>
      <c r="AP268" s="32">
        <f>H268*(1-0.75)</f>
        <v>0</v>
      </c>
      <c r="AQ268" s="27" t="s">
        <v>13</v>
      </c>
      <c r="AV268" s="32">
        <f>AW268+AX268</f>
        <v>0</v>
      </c>
      <c r="AW268" s="32">
        <f>G268*AO268</f>
        <v>0</v>
      </c>
      <c r="AX268" s="32">
        <f>G268*AP268</f>
        <v>0</v>
      </c>
      <c r="AY268" s="33" t="s">
        <v>723</v>
      </c>
      <c r="AZ268" s="33" t="s">
        <v>737</v>
      </c>
      <c r="BA268" s="28" t="s">
        <v>739</v>
      </c>
      <c r="BC268" s="32">
        <f>AW268+AX268</f>
        <v>0</v>
      </c>
      <c r="BD268" s="32">
        <f>H268/(100-BE268)*100</f>
        <v>0</v>
      </c>
      <c r="BE268" s="32">
        <v>0</v>
      </c>
      <c r="BF268" s="32">
        <f>266</f>
        <v>266</v>
      </c>
      <c r="BH268" s="15">
        <f>G268*AO268</f>
        <v>0</v>
      </c>
      <c r="BI268" s="15">
        <f>G268*AP268</f>
        <v>0</v>
      </c>
      <c r="BJ268" s="15">
        <f>G268*H268</f>
        <v>0</v>
      </c>
    </row>
    <row r="269" spans="1:62" x14ac:dyDescent="0.2">
      <c r="C269" s="58" t="s">
        <v>542</v>
      </c>
      <c r="D269" s="59"/>
      <c r="E269" s="59"/>
      <c r="G269" s="16">
        <v>184.32</v>
      </c>
    </row>
    <row r="270" spans="1:62" x14ac:dyDescent="0.2">
      <c r="C270" s="58" t="s">
        <v>543</v>
      </c>
      <c r="D270" s="59"/>
      <c r="E270" s="59"/>
      <c r="G270" s="16">
        <v>7.2</v>
      </c>
    </row>
    <row r="271" spans="1:62" x14ac:dyDescent="0.2">
      <c r="A271" s="5"/>
      <c r="B271" s="13" t="s">
        <v>100</v>
      </c>
      <c r="C271" s="66" t="s">
        <v>544</v>
      </c>
      <c r="D271" s="67"/>
      <c r="E271" s="67"/>
      <c r="F271" s="5" t="s">
        <v>6</v>
      </c>
      <c r="G271" s="5" t="s">
        <v>6</v>
      </c>
      <c r="H271" s="5" t="s">
        <v>6</v>
      </c>
      <c r="I271" s="35">
        <f>SUM(I272:I288)</f>
        <v>0</v>
      </c>
      <c r="J271" s="35">
        <f>SUM(J272:J288)</f>
        <v>0</v>
      </c>
      <c r="K271" s="35">
        <f>SUM(K272:K288)</f>
        <v>0</v>
      </c>
      <c r="L271" s="28"/>
      <c r="AI271" s="28"/>
      <c r="AS271" s="35">
        <f>SUM(AJ272:AJ288)</f>
        <v>0</v>
      </c>
      <c r="AT271" s="35">
        <f>SUM(AK272:AK288)</f>
        <v>0</v>
      </c>
      <c r="AU271" s="35">
        <f>SUM(AL272:AL288)</f>
        <v>0</v>
      </c>
    </row>
    <row r="272" spans="1:62" x14ac:dyDescent="0.2">
      <c r="A272" s="4" t="s">
        <v>99</v>
      </c>
      <c r="B272" s="4" t="s">
        <v>251</v>
      </c>
      <c r="C272" s="60" t="s">
        <v>545</v>
      </c>
      <c r="D272" s="61"/>
      <c r="E272" s="61"/>
      <c r="F272" s="4" t="s">
        <v>667</v>
      </c>
      <c r="G272" s="15">
        <v>1035.3</v>
      </c>
      <c r="H272" s="15">
        <v>0</v>
      </c>
      <c r="I272" s="15">
        <f>G272*AO272</f>
        <v>0</v>
      </c>
      <c r="J272" s="15">
        <f>G272*AP272</f>
        <v>0</v>
      </c>
      <c r="K272" s="15">
        <f>G272*H272</f>
        <v>0</v>
      </c>
      <c r="L272" s="27" t="s">
        <v>690</v>
      </c>
      <c r="Z272" s="32">
        <f>IF(AQ272="5",BJ272,0)</f>
        <v>0</v>
      </c>
      <c r="AB272" s="32">
        <f>IF(AQ272="1",BH272,0)</f>
        <v>0</v>
      </c>
      <c r="AC272" s="32">
        <f>IF(AQ272="1",BI272,0)</f>
        <v>0</v>
      </c>
      <c r="AD272" s="32">
        <f>IF(AQ272="7",BH272,0)</f>
        <v>0</v>
      </c>
      <c r="AE272" s="32">
        <f>IF(AQ272="7",BI272,0)</f>
        <v>0</v>
      </c>
      <c r="AF272" s="32">
        <f>IF(AQ272="2",BH272,0)</f>
        <v>0</v>
      </c>
      <c r="AG272" s="32">
        <f>IF(AQ272="2",BI272,0)</f>
        <v>0</v>
      </c>
      <c r="AH272" s="32">
        <f>IF(AQ272="0",BJ272,0)</f>
        <v>0</v>
      </c>
      <c r="AI272" s="28"/>
      <c r="AJ272" s="15">
        <f>IF(AN272=0,K272,0)</f>
        <v>0</v>
      </c>
      <c r="AK272" s="15">
        <f>IF(AN272=15,K272,0)</f>
        <v>0</v>
      </c>
      <c r="AL272" s="15">
        <f>IF(AN272=21,K272,0)</f>
        <v>0</v>
      </c>
      <c r="AN272" s="32">
        <v>21</v>
      </c>
      <c r="AO272" s="32">
        <f>H272*0.000137193025139996</f>
        <v>0</v>
      </c>
      <c r="AP272" s="32">
        <f>H272*(1-0.000137193025139996)</f>
        <v>0</v>
      </c>
      <c r="AQ272" s="27" t="s">
        <v>7</v>
      </c>
      <c r="AV272" s="32">
        <f>AW272+AX272</f>
        <v>0</v>
      </c>
      <c r="AW272" s="32">
        <f>G272*AO272</f>
        <v>0</v>
      </c>
      <c r="AX272" s="32">
        <f>G272*AP272</f>
        <v>0</v>
      </c>
      <c r="AY272" s="33" t="s">
        <v>724</v>
      </c>
      <c r="AZ272" s="33" t="s">
        <v>738</v>
      </c>
      <c r="BA272" s="28" t="s">
        <v>739</v>
      </c>
      <c r="BC272" s="32">
        <f>AW272+AX272</f>
        <v>0</v>
      </c>
      <c r="BD272" s="32">
        <f>H272/(100-BE272)*100</f>
        <v>0</v>
      </c>
      <c r="BE272" s="32">
        <v>0</v>
      </c>
      <c r="BF272" s="32">
        <f>270</f>
        <v>270</v>
      </c>
      <c r="BH272" s="15">
        <f>G272*AO272</f>
        <v>0</v>
      </c>
      <c r="BI272" s="15">
        <f>G272*AP272</f>
        <v>0</v>
      </c>
      <c r="BJ272" s="15">
        <f>G272*H272</f>
        <v>0</v>
      </c>
    </row>
    <row r="273" spans="1:62" x14ac:dyDescent="0.2">
      <c r="C273" s="58" t="s">
        <v>546</v>
      </c>
      <c r="D273" s="59"/>
      <c r="E273" s="59"/>
      <c r="G273" s="16">
        <v>994.5</v>
      </c>
    </row>
    <row r="274" spans="1:62" x14ac:dyDescent="0.2">
      <c r="C274" s="58" t="s">
        <v>547</v>
      </c>
      <c r="D274" s="59"/>
      <c r="E274" s="59"/>
      <c r="G274" s="16">
        <v>40.799999999999997</v>
      </c>
    </row>
    <row r="275" spans="1:62" x14ac:dyDescent="0.2">
      <c r="A275" s="4" t="s">
        <v>100</v>
      </c>
      <c r="B275" s="4" t="s">
        <v>252</v>
      </c>
      <c r="C275" s="60" t="s">
        <v>548</v>
      </c>
      <c r="D275" s="61"/>
      <c r="E275" s="61"/>
      <c r="F275" s="4" t="s">
        <v>667</v>
      </c>
      <c r="G275" s="15">
        <v>2070.6</v>
      </c>
      <c r="H275" s="15">
        <v>0</v>
      </c>
      <c r="I275" s="15">
        <f>G275*AO275</f>
        <v>0</v>
      </c>
      <c r="J275" s="15">
        <f>G275*AP275</f>
        <v>0</v>
      </c>
      <c r="K275" s="15">
        <f>G275*H275</f>
        <v>0</v>
      </c>
      <c r="L275" s="27" t="s">
        <v>690</v>
      </c>
      <c r="Z275" s="32">
        <f>IF(AQ275="5",BJ275,0)</f>
        <v>0</v>
      </c>
      <c r="AB275" s="32">
        <f>IF(AQ275="1",BH275,0)</f>
        <v>0</v>
      </c>
      <c r="AC275" s="32">
        <f>IF(AQ275="1",BI275,0)</f>
        <v>0</v>
      </c>
      <c r="AD275" s="32">
        <f>IF(AQ275="7",BH275,0)</f>
        <v>0</v>
      </c>
      <c r="AE275" s="32">
        <f>IF(AQ275="7",BI275,0)</f>
        <v>0</v>
      </c>
      <c r="AF275" s="32">
        <f>IF(AQ275="2",BH275,0)</f>
        <v>0</v>
      </c>
      <c r="AG275" s="32">
        <f>IF(AQ275="2",BI275,0)</f>
        <v>0</v>
      </c>
      <c r="AH275" s="32">
        <f>IF(AQ275="0",BJ275,0)</f>
        <v>0</v>
      </c>
      <c r="AI275" s="28"/>
      <c r="AJ275" s="15">
        <f>IF(AN275=0,K275,0)</f>
        <v>0</v>
      </c>
      <c r="AK275" s="15">
        <f>IF(AN275=15,K275,0)</f>
        <v>0</v>
      </c>
      <c r="AL275" s="15">
        <f>IF(AN275=21,K275,0)</f>
        <v>0</v>
      </c>
      <c r="AN275" s="32">
        <v>21</v>
      </c>
      <c r="AO275" s="32">
        <f>H275*0.902830188679245</f>
        <v>0</v>
      </c>
      <c r="AP275" s="32">
        <f>H275*(1-0.902830188679245)</f>
        <v>0</v>
      </c>
      <c r="AQ275" s="27" t="s">
        <v>7</v>
      </c>
      <c r="AV275" s="32">
        <f>AW275+AX275</f>
        <v>0</v>
      </c>
      <c r="AW275" s="32">
        <f>G275*AO275</f>
        <v>0</v>
      </c>
      <c r="AX275" s="32">
        <f>G275*AP275</f>
        <v>0</v>
      </c>
      <c r="AY275" s="33" t="s">
        <v>724</v>
      </c>
      <c r="AZ275" s="33" t="s">
        <v>738</v>
      </c>
      <c r="BA275" s="28" t="s">
        <v>739</v>
      </c>
      <c r="BC275" s="32">
        <f>AW275+AX275</f>
        <v>0</v>
      </c>
      <c r="BD275" s="32">
        <f>H275/(100-BE275)*100</f>
        <v>0</v>
      </c>
      <c r="BE275" s="32">
        <v>0</v>
      </c>
      <c r="BF275" s="32">
        <f>273</f>
        <v>273</v>
      </c>
      <c r="BH275" s="15">
        <f>G275*AO275</f>
        <v>0</v>
      </c>
      <c r="BI275" s="15">
        <f>G275*AP275</f>
        <v>0</v>
      </c>
      <c r="BJ275" s="15">
        <f>G275*H275</f>
        <v>0</v>
      </c>
    </row>
    <row r="276" spans="1:62" x14ac:dyDescent="0.2">
      <c r="C276" s="58" t="s">
        <v>549</v>
      </c>
      <c r="D276" s="59"/>
      <c r="E276" s="59"/>
      <c r="G276" s="16">
        <v>2070.6</v>
      </c>
    </row>
    <row r="277" spans="1:62" x14ac:dyDescent="0.2">
      <c r="A277" s="4" t="s">
        <v>101</v>
      </c>
      <c r="B277" s="4" t="s">
        <v>253</v>
      </c>
      <c r="C277" s="60" t="s">
        <v>550</v>
      </c>
      <c r="D277" s="61"/>
      <c r="E277" s="61"/>
      <c r="F277" s="4" t="s">
        <v>667</v>
      </c>
      <c r="G277" s="15">
        <v>1035.3</v>
      </c>
      <c r="H277" s="15">
        <v>0</v>
      </c>
      <c r="I277" s="15">
        <f>G277*AO277</f>
        <v>0</v>
      </c>
      <c r="J277" s="15">
        <f>G277*AP277</f>
        <v>0</v>
      </c>
      <c r="K277" s="15">
        <f>G277*H277</f>
        <v>0</v>
      </c>
      <c r="L277" s="27" t="s">
        <v>690</v>
      </c>
      <c r="Z277" s="32">
        <f>IF(AQ277="5",BJ277,0)</f>
        <v>0</v>
      </c>
      <c r="AB277" s="32">
        <f>IF(AQ277="1",BH277,0)</f>
        <v>0</v>
      </c>
      <c r="AC277" s="32">
        <f>IF(AQ277="1",BI277,0)</f>
        <v>0</v>
      </c>
      <c r="AD277" s="32">
        <f>IF(AQ277="7",BH277,0)</f>
        <v>0</v>
      </c>
      <c r="AE277" s="32">
        <f>IF(AQ277="7",BI277,0)</f>
        <v>0</v>
      </c>
      <c r="AF277" s="32">
        <f>IF(AQ277="2",BH277,0)</f>
        <v>0</v>
      </c>
      <c r="AG277" s="32">
        <f>IF(AQ277="2",BI277,0)</f>
        <v>0</v>
      </c>
      <c r="AH277" s="32">
        <f>IF(AQ277="0",BJ277,0)</f>
        <v>0</v>
      </c>
      <c r="AI277" s="28"/>
      <c r="AJ277" s="15">
        <f>IF(AN277=0,K277,0)</f>
        <v>0</v>
      </c>
      <c r="AK277" s="15">
        <f>IF(AN277=15,K277,0)</f>
        <v>0</v>
      </c>
      <c r="AL277" s="15">
        <f>IF(AN277=21,K277,0)</f>
        <v>0</v>
      </c>
      <c r="AN277" s="32">
        <v>21</v>
      </c>
      <c r="AO277" s="32">
        <f>H277*0</f>
        <v>0</v>
      </c>
      <c r="AP277" s="32">
        <f>H277*(1-0)</f>
        <v>0</v>
      </c>
      <c r="AQ277" s="27" t="s">
        <v>7</v>
      </c>
      <c r="AV277" s="32">
        <f>AW277+AX277</f>
        <v>0</v>
      </c>
      <c r="AW277" s="32">
        <f>G277*AO277</f>
        <v>0</v>
      </c>
      <c r="AX277" s="32">
        <f>G277*AP277</f>
        <v>0</v>
      </c>
      <c r="AY277" s="33" t="s">
        <v>724</v>
      </c>
      <c r="AZ277" s="33" t="s">
        <v>738</v>
      </c>
      <c r="BA277" s="28" t="s">
        <v>739</v>
      </c>
      <c r="BC277" s="32">
        <f>AW277+AX277</f>
        <v>0</v>
      </c>
      <c r="BD277" s="32">
        <f>H277/(100-BE277)*100</f>
        <v>0</v>
      </c>
      <c r="BE277" s="32">
        <v>0</v>
      </c>
      <c r="BF277" s="32">
        <f>275</f>
        <v>275</v>
      </c>
      <c r="BH277" s="15">
        <f>G277*AO277</f>
        <v>0</v>
      </c>
      <c r="BI277" s="15">
        <f>G277*AP277</f>
        <v>0</v>
      </c>
      <c r="BJ277" s="15">
        <f>G277*H277</f>
        <v>0</v>
      </c>
    </row>
    <row r="278" spans="1:62" x14ac:dyDescent="0.2">
      <c r="C278" s="58" t="s">
        <v>551</v>
      </c>
      <c r="D278" s="59"/>
      <c r="E278" s="59"/>
      <c r="G278" s="16">
        <v>1035.3</v>
      </c>
    </row>
    <row r="279" spans="1:62" x14ac:dyDescent="0.2">
      <c r="A279" s="4" t="s">
        <v>102</v>
      </c>
      <c r="B279" s="4" t="s">
        <v>254</v>
      </c>
      <c r="C279" s="60" t="s">
        <v>552</v>
      </c>
      <c r="D279" s="61"/>
      <c r="E279" s="61"/>
      <c r="F279" s="4" t="s">
        <v>667</v>
      </c>
      <c r="G279" s="15">
        <v>1035.3</v>
      </c>
      <c r="H279" s="15">
        <v>0</v>
      </c>
      <c r="I279" s="15">
        <f>G279*AO279</f>
        <v>0</v>
      </c>
      <c r="J279" s="15">
        <f>G279*AP279</f>
        <v>0</v>
      </c>
      <c r="K279" s="15">
        <f>G279*H279</f>
        <v>0</v>
      </c>
      <c r="L279" s="27" t="s">
        <v>690</v>
      </c>
      <c r="Z279" s="32">
        <f>IF(AQ279="5",BJ279,0)</f>
        <v>0</v>
      </c>
      <c r="AB279" s="32">
        <f>IF(AQ279="1",BH279,0)</f>
        <v>0</v>
      </c>
      <c r="AC279" s="32">
        <f>IF(AQ279="1",BI279,0)</f>
        <v>0</v>
      </c>
      <c r="AD279" s="32">
        <f>IF(AQ279="7",BH279,0)</f>
        <v>0</v>
      </c>
      <c r="AE279" s="32">
        <f>IF(AQ279="7",BI279,0)</f>
        <v>0</v>
      </c>
      <c r="AF279" s="32">
        <f>IF(AQ279="2",BH279,0)</f>
        <v>0</v>
      </c>
      <c r="AG279" s="32">
        <f>IF(AQ279="2",BI279,0)</f>
        <v>0</v>
      </c>
      <c r="AH279" s="32">
        <f>IF(AQ279="0",BJ279,0)</f>
        <v>0</v>
      </c>
      <c r="AI279" s="28"/>
      <c r="AJ279" s="15">
        <f>IF(AN279=0,K279,0)</f>
        <v>0</v>
      </c>
      <c r="AK279" s="15">
        <f>IF(AN279=15,K279,0)</f>
        <v>0</v>
      </c>
      <c r="AL279" s="15">
        <f>IF(AN279=21,K279,0)</f>
        <v>0</v>
      </c>
      <c r="AN279" s="32">
        <v>21</v>
      </c>
      <c r="AO279" s="32">
        <f>H279*0</f>
        <v>0</v>
      </c>
      <c r="AP279" s="32">
        <f>H279*(1-0)</f>
        <v>0</v>
      </c>
      <c r="AQ279" s="27" t="s">
        <v>7</v>
      </c>
      <c r="AV279" s="32">
        <f>AW279+AX279</f>
        <v>0</v>
      </c>
      <c r="AW279" s="32">
        <f>G279*AO279</f>
        <v>0</v>
      </c>
      <c r="AX279" s="32">
        <f>G279*AP279</f>
        <v>0</v>
      </c>
      <c r="AY279" s="33" t="s">
        <v>724</v>
      </c>
      <c r="AZ279" s="33" t="s">
        <v>738</v>
      </c>
      <c r="BA279" s="28" t="s">
        <v>739</v>
      </c>
      <c r="BC279" s="32">
        <f>AW279+AX279</f>
        <v>0</v>
      </c>
      <c r="BD279" s="32">
        <f>H279/(100-BE279)*100</f>
        <v>0</v>
      </c>
      <c r="BE279" s="32">
        <v>0</v>
      </c>
      <c r="BF279" s="32">
        <f>277</f>
        <v>277</v>
      </c>
      <c r="BH279" s="15">
        <f>G279*AO279</f>
        <v>0</v>
      </c>
      <c r="BI279" s="15">
        <f>G279*AP279</f>
        <v>0</v>
      </c>
      <c r="BJ279" s="15">
        <f>G279*H279</f>
        <v>0</v>
      </c>
    </row>
    <row r="280" spans="1:62" x14ac:dyDescent="0.2">
      <c r="C280" s="58" t="s">
        <v>553</v>
      </c>
      <c r="D280" s="59"/>
      <c r="E280" s="59"/>
      <c r="G280" s="16">
        <v>1035.3</v>
      </c>
    </row>
    <row r="281" spans="1:62" x14ac:dyDescent="0.2">
      <c r="A281" s="4" t="s">
        <v>103</v>
      </c>
      <c r="B281" s="4" t="s">
        <v>255</v>
      </c>
      <c r="C281" s="60" t="s">
        <v>554</v>
      </c>
      <c r="D281" s="61"/>
      <c r="E281" s="61"/>
      <c r="F281" s="4" t="s">
        <v>667</v>
      </c>
      <c r="G281" s="15">
        <v>2070.6</v>
      </c>
      <c r="H281" s="15">
        <v>0</v>
      </c>
      <c r="I281" s="15">
        <f>G281*AO281</f>
        <v>0</v>
      </c>
      <c r="J281" s="15">
        <f>G281*AP281</f>
        <v>0</v>
      </c>
      <c r="K281" s="15">
        <f>G281*H281</f>
        <v>0</v>
      </c>
      <c r="L281" s="27" t="s">
        <v>690</v>
      </c>
      <c r="Z281" s="32">
        <f>IF(AQ281="5",BJ281,0)</f>
        <v>0</v>
      </c>
      <c r="AB281" s="32">
        <f>IF(AQ281="1",BH281,0)</f>
        <v>0</v>
      </c>
      <c r="AC281" s="32">
        <f>IF(AQ281="1",BI281,0)</f>
        <v>0</v>
      </c>
      <c r="AD281" s="32">
        <f>IF(AQ281="7",BH281,0)</f>
        <v>0</v>
      </c>
      <c r="AE281" s="32">
        <f>IF(AQ281="7",BI281,0)</f>
        <v>0</v>
      </c>
      <c r="AF281" s="32">
        <f>IF(AQ281="2",BH281,0)</f>
        <v>0</v>
      </c>
      <c r="AG281" s="32">
        <f>IF(AQ281="2",BI281,0)</f>
        <v>0</v>
      </c>
      <c r="AH281" s="32">
        <f>IF(AQ281="0",BJ281,0)</f>
        <v>0</v>
      </c>
      <c r="AI281" s="28"/>
      <c r="AJ281" s="15">
        <f>IF(AN281=0,K281,0)</f>
        <v>0</v>
      </c>
      <c r="AK281" s="15">
        <f>IF(AN281=15,K281,0)</f>
        <v>0</v>
      </c>
      <c r="AL281" s="15">
        <f>IF(AN281=21,K281,0)</f>
        <v>0</v>
      </c>
      <c r="AN281" s="32">
        <v>21</v>
      </c>
      <c r="AO281" s="32">
        <f>H281*1</f>
        <v>0</v>
      </c>
      <c r="AP281" s="32">
        <f>H281*(1-1)</f>
        <v>0</v>
      </c>
      <c r="AQ281" s="27" t="s">
        <v>7</v>
      </c>
      <c r="AV281" s="32">
        <f>AW281+AX281</f>
        <v>0</v>
      </c>
      <c r="AW281" s="32">
        <f>G281*AO281</f>
        <v>0</v>
      </c>
      <c r="AX281" s="32">
        <f>G281*AP281</f>
        <v>0</v>
      </c>
      <c r="AY281" s="33" t="s">
        <v>724</v>
      </c>
      <c r="AZ281" s="33" t="s">
        <v>738</v>
      </c>
      <c r="BA281" s="28" t="s">
        <v>739</v>
      </c>
      <c r="BC281" s="32">
        <f>AW281+AX281</f>
        <v>0</v>
      </c>
      <c r="BD281" s="32">
        <f>H281/(100-BE281)*100</f>
        <v>0</v>
      </c>
      <c r="BE281" s="32">
        <v>0</v>
      </c>
      <c r="BF281" s="32">
        <f>279</f>
        <v>279</v>
      </c>
      <c r="BH281" s="15">
        <f>G281*AO281</f>
        <v>0</v>
      </c>
      <c r="BI281" s="15">
        <f>G281*AP281</f>
        <v>0</v>
      </c>
      <c r="BJ281" s="15">
        <f>G281*H281</f>
        <v>0</v>
      </c>
    </row>
    <row r="282" spans="1:62" x14ac:dyDescent="0.2">
      <c r="C282" s="58" t="s">
        <v>549</v>
      </c>
      <c r="D282" s="59"/>
      <c r="E282" s="59"/>
      <c r="G282" s="16">
        <v>2070.6</v>
      </c>
    </row>
    <row r="283" spans="1:62" x14ac:dyDescent="0.2">
      <c r="A283" s="4" t="s">
        <v>104</v>
      </c>
      <c r="B283" s="4" t="s">
        <v>256</v>
      </c>
      <c r="C283" s="60" t="s">
        <v>555</v>
      </c>
      <c r="D283" s="61"/>
      <c r="E283" s="61"/>
      <c r="F283" s="4" t="s">
        <v>667</v>
      </c>
      <c r="G283" s="15">
        <v>1035.3</v>
      </c>
      <c r="H283" s="15">
        <v>0</v>
      </c>
      <c r="I283" s="15">
        <f>G283*AO283</f>
        <v>0</v>
      </c>
      <c r="J283" s="15">
        <f>G283*AP283</f>
        <v>0</v>
      </c>
      <c r="K283" s="15">
        <f>G283*H283</f>
        <v>0</v>
      </c>
      <c r="L283" s="27" t="s">
        <v>690</v>
      </c>
      <c r="Z283" s="32">
        <f>IF(AQ283="5",BJ283,0)</f>
        <v>0</v>
      </c>
      <c r="AB283" s="32">
        <f>IF(AQ283="1",BH283,0)</f>
        <v>0</v>
      </c>
      <c r="AC283" s="32">
        <f>IF(AQ283="1",BI283,0)</f>
        <v>0</v>
      </c>
      <c r="AD283" s="32">
        <f>IF(AQ283="7",BH283,0)</f>
        <v>0</v>
      </c>
      <c r="AE283" s="32">
        <f>IF(AQ283="7",BI283,0)</f>
        <v>0</v>
      </c>
      <c r="AF283" s="32">
        <f>IF(AQ283="2",BH283,0)</f>
        <v>0</v>
      </c>
      <c r="AG283" s="32">
        <f>IF(AQ283="2",BI283,0)</f>
        <v>0</v>
      </c>
      <c r="AH283" s="32">
        <f>IF(AQ283="0",BJ283,0)</f>
        <v>0</v>
      </c>
      <c r="AI283" s="28"/>
      <c r="AJ283" s="15">
        <f>IF(AN283=0,K283,0)</f>
        <v>0</v>
      </c>
      <c r="AK283" s="15">
        <f>IF(AN283=15,K283,0)</f>
        <v>0</v>
      </c>
      <c r="AL283" s="15">
        <f>IF(AN283=21,K283,0)</f>
        <v>0</v>
      </c>
      <c r="AN283" s="32">
        <v>21</v>
      </c>
      <c r="AO283" s="32">
        <f>H283*0</f>
        <v>0</v>
      </c>
      <c r="AP283" s="32">
        <f>H283*(1-0)</f>
        <v>0</v>
      </c>
      <c r="AQ283" s="27" t="s">
        <v>7</v>
      </c>
      <c r="AV283" s="32">
        <f>AW283+AX283</f>
        <v>0</v>
      </c>
      <c r="AW283" s="32">
        <f>G283*AO283</f>
        <v>0</v>
      </c>
      <c r="AX283" s="32">
        <f>G283*AP283</f>
        <v>0</v>
      </c>
      <c r="AY283" s="33" t="s">
        <v>724</v>
      </c>
      <c r="AZ283" s="33" t="s">
        <v>738</v>
      </c>
      <c r="BA283" s="28" t="s">
        <v>739</v>
      </c>
      <c r="BC283" s="32">
        <f>AW283+AX283</f>
        <v>0</v>
      </c>
      <c r="BD283" s="32">
        <f>H283/(100-BE283)*100</f>
        <v>0</v>
      </c>
      <c r="BE283" s="32">
        <v>0</v>
      </c>
      <c r="BF283" s="32">
        <f>281</f>
        <v>281</v>
      </c>
      <c r="BH283" s="15">
        <f>G283*AO283</f>
        <v>0</v>
      </c>
      <c r="BI283" s="15">
        <f>G283*AP283</f>
        <v>0</v>
      </c>
      <c r="BJ283" s="15">
        <f>G283*H283</f>
        <v>0</v>
      </c>
    </row>
    <row r="284" spans="1:62" x14ac:dyDescent="0.2">
      <c r="C284" s="58" t="s">
        <v>551</v>
      </c>
      <c r="D284" s="59"/>
      <c r="E284" s="59"/>
      <c r="G284" s="16">
        <v>1035.3</v>
      </c>
    </row>
    <row r="285" spans="1:62" x14ac:dyDescent="0.2">
      <c r="A285" s="4" t="s">
        <v>105</v>
      </c>
      <c r="B285" s="4" t="s">
        <v>257</v>
      </c>
      <c r="C285" s="60" t="s">
        <v>556</v>
      </c>
      <c r="D285" s="61"/>
      <c r="E285" s="61"/>
      <c r="F285" s="4" t="s">
        <v>667</v>
      </c>
      <c r="G285" s="15">
        <v>290.60000000000002</v>
      </c>
      <c r="H285" s="15">
        <v>0</v>
      </c>
      <c r="I285" s="15">
        <f>G285*AO285</f>
        <v>0</v>
      </c>
      <c r="J285" s="15">
        <f>G285*AP285</f>
        <v>0</v>
      </c>
      <c r="K285" s="15">
        <f>G285*H285</f>
        <v>0</v>
      </c>
      <c r="L285" s="27" t="s">
        <v>690</v>
      </c>
      <c r="Z285" s="32">
        <f>IF(AQ285="5",BJ285,0)</f>
        <v>0</v>
      </c>
      <c r="AB285" s="32">
        <f>IF(AQ285="1",BH285,0)</f>
        <v>0</v>
      </c>
      <c r="AC285" s="32">
        <f>IF(AQ285="1",BI285,0)</f>
        <v>0</v>
      </c>
      <c r="AD285" s="32">
        <f>IF(AQ285="7",BH285,0)</f>
        <v>0</v>
      </c>
      <c r="AE285" s="32">
        <f>IF(AQ285="7",BI285,0)</f>
        <v>0</v>
      </c>
      <c r="AF285" s="32">
        <f>IF(AQ285="2",BH285,0)</f>
        <v>0</v>
      </c>
      <c r="AG285" s="32">
        <f>IF(AQ285="2",BI285,0)</f>
        <v>0</v>
      </c>
      <c r="AH285" s="32">
        <f>IF(AQ285="0",BJ285,0)</f>
        <v>0</v>
      </c>
      <c r="AI285" s="28"/>
      <c r="AJ285" s="15">
        <f>IF(AN285=0,K285,0)</f>
        <v>0</v>
      </c>
      <c r="AK285" s="15">
        <f>IF(AN285=15,K285,0)</f>
        <v>0</v>
      </c>
      <c r="AL285" s="15">
        <f>IF(AN285=21,K285,0)</f>
        <v>0</v>
      </c>
      <c r="AN285" s="32">
        <v>21</v>
      </c>
      <c r="AO285" s="32">
        <f>H285*0.33760168844715</f>
        <v>0</v>
      </c>
      <c r="AP285" s="32">
        <f>H285*(1-0.33760168844715)</f>
        <v>0</v>
      </c>
      <c r="AQ285" s="27" t="s">
        <v>7</v>
      </c>
      <c r="AV285" s="32">
        <f>AW285+AX285</f>
        <v>0</v>
      </c>
      <c r="AW285" s="32">
        <f>G285*AO285</f>
        <v>0</v>
      </c>
      <c r="AX285" s="32">
        <f>G285*AP285</f>
        <v>0</v>
      </c>
      <c r="AY285" s="33" t="s">
        <v>724</v>
      </c>
      <c r="AZ285" s="33" t="s">
        <v>738</v>
      </c>
      <c r="BA285" s="28" t="s">
        <v>739</v>
      </c>
      <c r="BC285" s="32">
        <f>AW285+AX285</f>
        <v>0</v>
      </c>
      <c r="BD285" s="32">
        <f>H285/(100-BE285)*100</f>
        <v>0</v>
      </c>
      <c r="BE285" s="32">
        <v>0</v>
      </c>
      <c r="BF285" s="32">
        <f>283</f>
        <v>283</v>
      </c>
      <c r="BH285" s="15">
        <f>G285*AO285</f>
        <v>0</v>
      </c>
      <c r="BI285" s="15">
        <f>G285*AP285</f>
        <v>0</v>
      </c>
      <c r="BJ285" s="15">
        <f>G285*H285</f>
        <v>0</v>
      </c>
    </row>
    <row r="286" spans="1:62" x14ac:dyDescent="0.2">
      <c r="C286" s="58" t="s">
        <v>557</v>
      </c>
      <c r="D286" s="59"/>
      <c r="E286" s="59"/>
      <c r="G286" s="16">
        <v>145.30000000000001</v>
      </c>
    </row>
    <row r="287" spans="1:62" x14ac:dyDescent="0.2">
      <c r="C287" s="58" t="s">
        <v>558</v>
      </c>
      <c r="D287" s="59"/>
      <c r="E287" s="59"/>
      <c r="G287" s="16">
        <v>145.30000000000001</v>
      </c>
    </row>
    <row r="288" spans="1:62" x14ac:dyDescent="0.2">
      <c r="A288" s="4" t="s">
        <v>106</v>
      </c>
      <c r="B288" s="4" t="s">
        <v>258</v>
      </c>
      <c r="C288" s="60" t="s">
        <v>559</v>
      </c>
      <c r="D288" s="61"/>
      <c r="E288" s="61"/>
      <c r="F288" s="4" t="s">
        <v>672</v>
      </c>
      <c r="G288" s="15">
        <v>21.451039999999999</v>
      </c>
      <c r="H288" s="15">
        <v>0</v>
      </c>
      <c r="I288" s="15">
        <f>G288*AO288</f>
        <v>0</v>
      </c>
      <c r="J288" s="15">
        <f>G288*AP288</f>
        <v>0</v>
      </c>
      <c r="K288" s="15">
        <f>G288*H288</f>
        <v>0</v>
      </c>
      <c r="L288" s="27" t="s">
        <v>690</v>
      </c>
      <c r="Z288" s="32">
        <f>IF(AQ288="5",BJ288,0)</f>
        <v>0</v>
      </c>
      <c r="AB288" s="32">
        <f>IF(AQ288="1",BH288,0)</f>
        <v>0</v>
      </c>
      <c r="AC288" s="32">
        <f>IF(AQ288="1",BI288,0)</f>
        <v>0</v>
      </c>
      <c r="AD288" s="32">
        <f>IF(AQ288="7",BH288,0)</f>
        <v>0</v>
      </c>
      <c r="AE288" s="32">
        <f>IF(AQ288="7",BI288,0)</f>
        <v>0</v>
      </c>
      <c r="AF288" s="32">
        <f>IF(AQ288="2",BH288,0)</f>
        <v>0</v>
      </c>
      <c r="AG288" s="32">
        <f>IF(AQ288="2",BI288,0)</f>
        <v>0</v>
      </c>
      <c r="AH288" s="32">
        <f>IF(AQ288="0",BJ288,0)</f>
        <v>0</v>
      </c>
      <c r="AI288" s="28"/>
      <c r="AJ288" s="15">
        <f>IF(AN288=0,K288,0)</f>
        <v>0</v>
      </c>
      <c r="AK288" s="15">
        <f>IF(AN288=15,K288,0)</f>
        <v>0</v>
      </c>
      <c r="AL288" s="15">
        <f>IF(AN288=21,K288,0)</f>
        <v>0</v>
      </c>
      <c r="AN288" s="32">
        <v>21</v>
      </c>
      <c r="AO288" s="32">
        <f>H288*0</f>
        <v>0</v>
      </c>
      <c r="AP288" s="32">
        <f>H288*(1-0)</f>
        <v>0</v>
      </c>
      <c r="AQ288" s="27" t="s">
        <v>11</v>
      </c>
      <c r="AV288" s="32">
        <f>AW288+AX288</f>
        <v>0</v>
      </c>
      <c r="AW288" s="32">
        <f>G288*AO288</f>
        <v>0</v>
      </c>
      <c r="AX288" s="32">
        <f>G288*AP288</f>
        <v>0</v>
      </c>
      <c r="AY288" s="33" t="s">
        <v>724</v>
      </c>
      <c r="AZ288" s="33" t="s">
        <v>738</v>
      </c>
      <c r="BA288" s="28" t="s">
        <v>739</v>
      </c>
      <c r="BC288" s="32">
        <f>AW288+AX288</f>
        <v>0</v>
      </c>
      <c r="BD288" s="32">
        <f>H288/(100-BE288)*100</f>
        <v>0</v>
      </c>
      <c r="BE288" s="32">
        <v>0</v>
      </c>
      <c r="BF288" s="32">
        <f>286</f>
        <v>286</v>
      </c>
      <c r="BH288" s="15">
        <f>G288*AO288</f>
        <v>0</v>
      </c>
      <c r="BI288" s="15">
        <f>G288*AP288</f>
        <v>0</v>
      </c>
      <c r="BJ288" s="15">
        <f>G288*H288</f>
        <v>0</v>
      </c>
    </row>
    <row r="289" spans="1:62" x14ac:dyDescent="0.2">
      <c r="C289" s="58" t="s">
        <v>560</v>
      </c>
      <c r="D289" s="59"/>
      <c r="E289" s="59"/>
      <c r="G289" s="16">
        <v>21.451039999999999</v>
      </c>
    </row>
    <row r="290" spans="1:62" x14ac:dyDescent="0.2">
      <c r="A290" s="5"/>
      <c r="B290" s="13" t="s">
        <v>101</v>
      </c>
      <c r="C290" s="66" t="s">
        <v>561</v>
      </c>
      <c r="D290" s="67"/>
      <c r="E290" s="67"/>
      <c r="F290" s="5" t="s">
        <v>6</v>
      </c>
      <c r="G290" s="5" t="s">
        <v>6</v>
      </c>
      <c r="H290" s="5" t="s">
        <v>6</v>
      </c>
      <c r="I290" s="35">
        <f>SUM(I291:I304)</f>
        <v>0</v>
      </c>
      <c r="J290" s="35">
        <f>SUM(J291:J304)</f>
        <v>0</v>
      </c>
      <c r="K290" s="35">
        <f>SUM(K291:K304)</f>
        <v>0</v>
      </c>
      <c r="L290" s="28"/>
      <c r="AI290" s="28"/>
      <c r="AS290" s="35">
        <f>SUM(AJ291:AJ304)</f>
        <v>0</v>
      </c>
      <c r="AT290" s="35">
        <f>SUM(AK291:AK304)</f>
        <v>0</v>
      </c>
      <c r="AU290" s="35">
        <f>SUM(AL291:AL304)</f>
        <v>0</v>
      </c>
    </row>
    <row r="291" spans="1:62" x14ac:dyDescent="0.2">
      <c r="A291" s="4" t="s">
        <v>107</v>
      </c>
      <c r="B291" s="4" t="s">
        <v>259</v>
      </c>
      <c r="C291" s="60" t="s">
        <v>562</v>
      </c>
      <c r="D291" s="61"/>
      <c r="E291" s="61"/>
      <c r="F291" s="4" t="s">
        <v>667</v>
      </c>
      <c r="G291" s="15">
        <v>1115</v>
      </c>
      <c r="H291" s="15">
        <v>0</v>
      </c>
      <c r="I291" s="15">
        <f>G291*AO291</f>
        <v>0</v>
      </c>
      <c r="J291" s="15">
        <f>G291*AP291</f>
        <v>0</v>
      </c>
      <c r="K291" s="15">
        <f>G291*H291</f>
        <v>0</v>
      </c>
      <c r="L291" s="27" t="s">
        <v>690</v>
      </c>
      <c r="Z291" s="32">
        <f>IF(AQ291="5",BJ291,0)</f>
        <v>0</v>
      </c>
      <c r="AB291" s="32">
        <f>IF(AQ291="1",BH291,0)</f>
        <v>0</v>
      </c>
      <c r="AC291" s="32">
        <f>IF(AQ291="1",BI291,0)</f>
        <v>0</v>
      </c>
      <c r="AD291" s="32">
        <f>IF(AQ291="7",BH291,0)</f>
        <v>0</v>
      </c>
      <c r="AE291" s="32">
        <f>IF(AQ291="7",BI291,0)</f>
        <v>0</v>
      </c>
      <c r="AF291" s="32">
        <f>IF(AQ291="2",BH291,0)</f>
        <v>0</v>
      </c>
      <c r="AG291" s="32">
        <f>IF(AQ291="2",BI291,0)</f>
        <v>0</v>
      </c>
      <c r="AH291" s="32">
        <f>IF(AQ291="0",BJ291,0)</f>
        <v>0</v>
      </c>
      <c r="AI291" s="28"/>
      <c r="AJ291" s="15">
        <f>IF(AN291=0,K291,0)</f>
        <v>0</v>
      </c>
      <c r="AK291" s="15">
        <f>IF(AN291=15,K291,0)</f>
        <v>0</v>
      </c>
      <c r="AL291" s="15">
        <f>IF(AN291=21,K291,0)</f>
        <v>0</v>
      </c>
      <c r="AN291" s="32">
        <v>21</v>
      </c>
      <c r="AO291" s="32">
        <f>H291*0.00155369974752379</f>
        <v>0</v>
      </c>
      <c r="AP291" s="32">
        <f>H291*(1-0.00155369974752379)</f>
        <v>0</v>
      </c>
      <c r="AQ291" s="27" t="s">
        <v>7</v>
      </c>
      <c r="AV291" s="32">
        <f>AW291+AX291</f>
        <v>0</v>
      </c>
      <c r="AW291" s="32">
        <f>G291*AO291</f>
        <v>0</v>
      </c>
      <c r="AX291" s="32">
        <f>G291*AP291</f>
        <v>0</v>
      </c>
      <c r="AY291" s="33" t="s">
        <v>725</v>
      </c>
      <c r="AZ291" s="33" t="s">
        <v>738</v>
      </c>
      <c r="BA291" s="28" t="s">
        <v>739</v>
      </c>
      <c r="BC291" s="32">
        <f>AW291+AX291</f>
        <v>0</v>
      </c>
      <c r="BD291" s="32">
        <f>H291/(100-BE291)*100</f>
        <v>0</v>
      </c>
      <c r="BE291" s="32">
        <v>0</v>
      </c>
      <c r="BF291" s="32">
        <f>289</f>
        <v>289</v>
      </c>
      <c r="BH291" s="15">
        <f>G291*AO291</f>
        <v>0</v>
      </c>
      <c r="BI291" s="15">
        <f>G291*AP291</f>
        <v>0</v>
      </c>
      <c r="BJ291" s="15">
        <f>G291*H291</f>
        <v>0</v>
      </c>
    </row>
    <row r="292" spans="1:62" x14ac:dyDescent="0.2">
      <c r="C292" s="58" t="s">
        <v>563</v>
      </c>
      <c r="D292" s="59"/>
      <c r="E292" s="59"/>
      <c r="G292" s="16">
        <v>1115</v>
      </c>
    </row>
    <row r="293" spans="1:62" x14ac:dyDescent="0.2">
      <c r="A293" s="4" t="s">
        <v>108</v>
      </c>
      <c r="B293" s="4" t="s">
        <v>260</v>
      </c>
      <c r="C293" s="60" t="s">
        <v>564</v>
      </c>
      <c r="D293" s="61"/>
      <c r="E293" s="61"/>
      <c r="F293" s="4" t="s">
        <v>667</v>
      </c>
      <c r="G293" s="15">
        <v>281.476</v>
      </c>
      <c r="H293" s="15">
        <v>0</v>
      </c>
      <c r="I293" s="15">
        <f>G293*AO293</f>
        <v>0</v>
      </c>
      <c r="J293" s="15">
        <f>G293*AP293</f>
        <v>0</v>
      </c>
      <c r="K293" s="15">
        <f>G293*H293</f>
        <v>0</v>
      </c>
      <c r="L293" s="27" t="s">
        <v>690</v>
      </c>
      <c r="Z293" s="32">
        <f>IF(AQ293="5",BJ293,0)</f>
        <v>0</v>
      </c>
      <c r="AB293" s="32">
        <f>IF(AQ293="1",BH293,0)</f>
        <v>0</v>
      </c>
      <c r="AC293" s="32">
        <f>IF(AQ293="1",BI293,0)</f>
        <v>0</v>
      </c>
      <c r="AD293" s="32">
        <f>IF(AQ293="7",BH293,0)</f>
        <v>0</v>
      </c>
      <c r="AE293" s="32">
        <f>IF(AQ293="7",BI293,0)</f>
        <v>0</v>
      </c>
      <c r="AF293" s="32">
        <f>IF(AQ293="2",BH293,0)</f>
        <v>0</v>
      </c>
      <c r="AG293" s="32">
        <f>IF(AQ293="2",BI293,0)</f>
        <v>0</v>
      </c>
      <c r="AH293" s="32">
        <f>IF(AQ293="0",BJ293,0)</f>
        <v>0</v>
      </c>
      <c r="AI293" s="28"/>
      <c r="AJ293" s="15">
        <f>IF(AN293=0,K293,0)</f>
        <v>0</v>
      </c>
      <c r="AK293" s="15">
        <f>IF(AN293=15,K293,0)</f>
        <v>0</v>
      </c>
      <c r="AL293" s="15">
        <f>IF(AN293=21,K293,0)</f>
        <v>0</v>
      </c>
      <c r="AN293" s="32">
        <v>21</v>
      </c>
      <c r="AO293" s="32">
        <f>H293*0.0197556031017758</f>
        <v>0</v>
      </c>
      <c r="AP293" s="32">
        <f>H293*(1-0.0197556031017758)</f>
        <v>0</v>
      </c>
      <c r="AQ293" s="27" t="s">
        <v>7</v>
      </c>
      <c r="AV293" s="32">
        <f>AW293+AX293</f>
        <v>0</v>
      </c>
      <c r="AW293" s="32">
        <f>G293*AO293</f>
        <v>0</v>
      </c>
      <c r="AX293" s="32">
        <f>G293*AP293</f>
        <v>0</v>
      </c>
      <c r="AY293" s="33" t="s">
        <v>725</v>
      </c>
      <c r="AZ293" s="33" t="s">
        <v>738</v>
      </c>
      <c r="BA293" s="28" t="s">
        <v>739</v>
      </c>
      <c r="BC293" s="32">
        <f>AW293+AX293</f>
        <v>0</v>
      </c>
      <c r="BD293" s="32">
        <f>H293/(100-BE293)*100</f>
        <v>0</v>
      </c>
      <c r="BE293" s="32">
        <v>0</v>
      </c>
      <c r="BF293" s="32">
        <f>291</f>
        <v>291</v>
      </c>
      <c r="BH293" s="15">
        <f>G293*AO293</f>
        <v>0</v>
      </c>
      <c r="BI293" s="15">
        <f>G293*AP293</f>
        <v>0</v>
      </c>
      <c r="BJ293" s="15">
        <f>G293*H293</f>
        <v>0</v>
      </c>
    </row>
    <row r="294" spans="1:62" x14ac:dyDescent="0.2">
      <c r="C294" s="58" t="s">
        <v>372</v>
      </c>
      <c r="D294" s="59"/>
      <c r="E294" s="59"/>
      <c r="G294" s="16">
        <v>281.476</v>
      </c>
    </row>
    <row r="295" spans="1:62" x14ac:dyDescent="0.2">
      <c r="A295" s="4" t="s">
        <v>109</v>
      </c>
      <c r="B295" s="4" t="s">
        <v>260</v>
      </c>
      <c r="C295" s="60" t="s">
        <v>565</v>
      </c>
      <c r="D295" s="61"/>
      <c r="E295" s="61"/>
      <c r="F295" s="4" t="s">
        <v>667</v>
      </c>
      <c r="G295" s="15">
        <v>281.5</v>
      </c>
      <c r="H295" s="15">
        <v>0</v>
      </c>
      <c r="I295" s="15">
        <f>G295*AO295</f>
        <v>0</v>
      </c>
      <c r="J295" s="15">
        <f>G295*AP295</f>
        <v>0</v>
      </c>
      <c r="K295" s="15">
        <f>G295*H295</f>
        <v>0</v>
      </c>
      <c r="L295" s="27" t="s">
        <v>690</v>
      </c>
      <c r="Z295" s="32">
        <f>IF(AQ295="5",BJ295,0)</f>
        <v>0</v>
      </c>
      <c r="AB295" s="32">
        <f>IF(AQ295="1",BH295,0)</f>
        <v>0</v>
      </c>
      <c r="AC295" s="32">
        <f>IF(AQ295="1",BI295,0)</f>
        <v>0</v>
      </c>
      <c r="AD295" s="32">
        <f>IF(AQ295="7",BH295,0)</f>
        <v>0</v>
      </c>
      <c r="AE295" s="32">
        <f>IF(AQ295="7",BI295,0)</f>
        <v>0</v>
      </c>
      <c r="AF295" s="32">
        <f>IF(AQ295="2",BH295,0)</f>
        <v>0</v>
      </c>
      <c r="AG295" s="32">
        <f>IF(AQ295="2",BI295,0)</f>
        <v>0</v>
      </c>
      <c r="AH295" s="32">
        <f>IF(AQ295="0",BJ295,0)</f>
        <v>0</v>
      </c>
      <c r="AI295" s="28"/>
      <c r="AJ295" s="15">
        <f>IF(AN295=0,K295,0)</f>
        <v>0</v>
      </c>
      <c r="AK295" s="15">
        <f>IF(AN295=15,K295,0)</f>
        <v>0</v>
      </c>
      <c r="AL295" s="15">
        <f>IF(AN295=21,K295,0)</f>
        <v>0</v>
      </c>
      <c r="AN295" s="32">
        <v>21</v>
      </c>
      <c r="AO295" s="32">
        <f>H295*0.019755600814664</f>
        <v>0</v>
      </c>
      <c r="AP295" s="32">
        <f>H295*(1-0.019755600814664)</f>
        <v>0</v>
      </c>
      <c r="AQ295" s="27" t="s">
        <v>7</v>
      </c>
      <c r="AV295" s="32">
        <f>AW295+AX295</f>
        <v>0</v>
      </c>
      <c r="AW295" s="32">
        <f>G295*AO295</f>
        <v>0</v>
      </c>
      <c r="AX295" s="32">
        <f>G295*AP295</f>
        <v>0</v>
      </c>
      <c r="AY295" s="33" t="s">
        <v>725</v>
      </c>
      <c r="AZ295" s="33" t="s">
        <v>738</v>
      </c>
      <c r="BA295" s="28" t="s">
        <v>739</v>
      </c>
      <c r="BC295" s="32">
        <f>AW295+AX295</f>
        <v>0</v>
      </c>
      <c r="BD295" s="32">
        <f>H295/(100-BE295)*100</f>
        <v>0</v>
      </c>
      <c r="BE295" s="32">
        <v>0</v>
      </c>
      <c r="BF295" s="32">
        <f>293</f>
        <v>293</v>
      </c>
      <c r="BH295" s="15">
        <f>G295*AO295</f>
        <v>0</v>
      </c>
      <c r="BI295" s="15">
        <f>G295*AP295</f>
        <v>0</v>
      </c>
      <c r="BJ295" s="15">
        <f>G295*H295</f>
        <v>0</v>
      </c>
    </row>
    <row r="296" spans="1:62" x14ac:dyDescent="0.2">
      <c r="C296" s="58" t="s">
        <v>566</v>
      </c>
      <c r="D296" s="59"/>
      <c r="E296" s="59"/>
      <c r="G296" s="16">
        <v>281.5</v>
      </c>
    </row>
    <row r="297" spans="1:62" x14ac:dyDescent="0.2">
      <c r="A297" s="4" t="s">
        <v>110</v>
      </c>
      <c r="B297" s="4" t="s">
        <v>261</v>
      </c>
      <c r="C297" s="60" t="s">
        <v>567</v>
      </c>
      <c r="D297" s="61"/>
      <c r="E297" s="61"/>
      <c r="F297" s="4" t="s">
        <v>667</v>
      </c>
      <c r="G297" s="15">
        <v>1368.5</v>
      </c>
      <c r="H297" s="15">
        <v>0</v>
      </c>
      <c r="I297" s="15">
        <f>G297*AO297</f>
        <v>0</v>
      </c>
      <c r="J297" s="15">
        <f>G297*AP297</f>
        <v>0</v>
      </c>
      <c r="K297" s="15">
        <f>G297*H297</f>
        <v>0</v>
      </c>
      <c r="L297" s="27"/>
      <c r="Z297" s="32">
        <f>IF(AQ297="5",BJ297,0)</f>
        <v>0</v>
      </c>
      <c r="AB297" s="32">
        <f>IF(AQ297="1",BH297,0)</f>
        <v>0</v>
      </c>
      <c r="AC297" s="32">
        <f>IF(AQ297="1",BI297,0)</f>
        <v>0</v>
      </c>
      <c r="AD297" s="32">
        <f>IF(AQ297="7",BH297,0)</f>
        <v>0</v>
      </c>
      <c r="AE297" s="32">
        <f>IF(AQ297="7",BI297,0)</f>
        <v>0</v>
      </c>
      <c r="AF297" s="32">
        <f>IF(AQ297="2",BH297,0)</f>
        <v>0</v>
      </c>
      <c r="AG297" s="32">
        <f>IF(AQ297="2",BI297,0)</f>
        <v>0</v>
      </c>
      <c r="AH297" s="32">
        <f>IF(AQ297="0",BJ297,0)</f>
        <v>0</v>
      </c>
      <c r="AI297" s="28"/>
      <c r="AJ297" s="15">
        <f>IF(AN297=0,K297,0)</f>
        <v>0</v>
      </c>
      <c r="AK297" s="15">
        <f>IF(AN297=15,K297,0)</f>
        <v>0</v>
      </c>
      <c r="AL297" s="15">
        <f>IF(AN297=21,K297,0)</f>
        <v>0</v>
      </c>
      <c r="AN297" s="32">
        <v>21</v>
      </c>
      <c r="AO297" s="32">
        <f>H297*0</f>
        <v>0</v>
      </c>
      <c r="AP297" s="32">
        <f>H297*(1-0)</f>
        <v>0</v>
      </c>
      <c r="AQ297" s="27" t="s">
        <v>7</v>
      </c>
      <c r="AV297" s="32">
        <f>AW297+AX297</f>
        <v>0</v>
      </c>
      <c r="AW297" s="32">
        <f>G297*AO297</f>
        <v>0</v>
      </c>
      <c r="AX297" s="32">
        <f>G297*AP297</f>
        <v>0</v>
      </c>
      <c r="AY297" s="33" t="s">
        <v>725</v>
      </c>
      <c r="AZ297" s="33" t="s">
        <v>738</v>
      </c>
      <c r="BA297" s="28" t="s">
        <v>739</v>
      </c>
      <c r="BC297" s="32">
        <f>AW297+AX297</f>
        <v>0</v>
      </c>
      <c r="BD297" s="32">
        <f>H297/(100-BE297)*100</f>
        <v>0</v>
      </c>
      <c r="BE297" s="32">
        <v>0</v>
      </c>
      <c r="BF297" s="32">
        <f>295</f>
        <v>295</v>
      </c>
      <c r="BH297" s="15">
        <f>G297*AO297</f>
        <v>0</v>
      </c>
      <c r="BI297" s="15">
        <f>G297*AP297</f>
        <v>0</v>
      </c>
      <c r="BJ297" s="15">
        <f>G297*H297</f>
        <v>0</v>
      </c>
    </row>
    <row r="298" spans="1:62" x14ac:dyDescent="0.2">
      <c r="C298" s="58" t="s">
        <v>568</v>
      </c>
      <c r="D298" s="59"/>
      <c r="E298" s="59"/>
      <c r="G298" s="16">
        <v>378.8</v>
      </c>
    </row>
    <row r="299" spans="1:62" x14ac:dyDescent="0.2">
      <c r="C299" s="58" t="s">
        <v>569</v>
      </c>
      <c r="D299" s="59"/>
      <c r="E299" s="59"/>
      <c r="G299" s="16">
        <v>276.85000000000002</v>
      </c>
    </row>
    <row r="300" spans="1:62" x14ac:dyDescent="0.2">
      <c r="C300" s="58" t="s">
        <v>538</v>
      </c>
      <c r="D300" s="59"/>
      <c r="E300" s="59"/>
      <c r="G300" s="16">
        <v>0</v>
      </c>
    </row>
    <row r="301" spans="1:62" x14ac:dyDescent="0.2">
      <c r="C301" s="58" t="s">
        <v>570</v>
      </c>
      <c r="D301" s="59"/>
      <c r="E301" s="59"/>
      <c r="G301" s="16">
        <v>447.4</v>
      </c>
    </row>
    <row r="302" spans="1:62" x14ac:dyDescent="0.2">
      <c r="C302" s="58" t="s">
        <v>571</v>
      </c>
      <c r="D302" s="59"/>
      <c r="E302" s="59"/>
      <c r="G302" s="16">
        <v>265.45</v>
      </c>
    </row>
    <row r="303" spans="1:62" x14ac:dyDescent="0.2">
      <c r="C303" s="58" t="s">
        <v>572</v>
      </c>
      <c r="D303" s="59"/>
      <c r="E303" s="59"/>
      <c r="G303" s="16">
        <v>0</v>
      </c>
    </row>
    <row r="304" spans="1:62" x14ac:dyDescent="0.2">
      <c r="A304" s="4" t="s">
        <v>111</v>
      </c>
      <c r="B304" s="4" t="s">
        <v>262</v>
      </c>
      <c r="C304" s="60" t="s">
        <v>573</v>
      </c>
      <c r="D304" s="61"/>
      <c r="E304" s="61"/>
      <c r="F304" s="4" t="s">
        <v>667</v>
      </c>
      <c r="G304" s="15">
        <v>1368.5</v>
      </c>
      <c r="H304" s="15">
        <v>0</v>
      </c>
      <c r="I304" s="15">
        <f>G304*AO304</f>
        <v>0</v>
      </c>
      <c r="J304" s="15">
        <f>G304*AP304</f>
        <v>0</v>
      </c>
      <c r="K304" s="15">
        <f>G304*H304</f>
        <v>0</v>
      </c>
      <c r="L304" s="27" t="s">
        <v>690</v>
      </c>
      <c r="Z304" s="32">
        <f>IF(AQ304="5",BJ304,0)</f>
        <v>0</v>
      </c>
      <c r="AB304" s="32">
        <f>IF(AQ304="1",BH304,0)</f>
        <v>0</v>
      </c>
      <c r="AC304" s="32">
        <f>IF(AQ304="1",BI304,0)</f>
        <v>0</v>
      </c>
      <c r="AD304" s="32">
        <f>IF(AQ304="7",BH304,0)</f>
        <v>0</v>
      </c>
      <c r="AE304" s="32">
        <f>IF(AQ304="7",BI304,0)</f>
        <v>0</v>
      </c>
      <c r="AF304" s="32">
        <f>IF(AQ304="2",BH304,0)</f>
        <v>0</v>
      </c>
      <c r="AG304" s="32">
        <f>IF(AQ304="2",BI304,0)</f>
        <v>0</v>
      </c>
      <c r="AH304" s="32">
        <f>IF(AQ304="0",BJ304,0)</f>
        <v>0</v>
      </c>
      <c r="AI304" s="28"/>
      <c r="AJ304" s="15">
        <f>IF(AN304=0,K304,0)</f>
        <v>0</v>
      </c>
      <c r="AK304" s="15">
        <f>IF(AN304=15,K304,0)</f>
        <v>0</v>
      </c>
      <c r="AL304" s="15">
        <f>IF(AN304=21,K304,0)</f>
        <v>0</v>
      </c>
      <c r="AN304" s="32">
        <v>21</v>
      </c>
      <c r="AO304" s="32">
        <f>H304*0</f>
        <v>0</v>
      </c>
      <c r="AP304" s="32">
        <f>H304*(1-0)</f>
        <v>0</v>
      </c>
      <c r="AQ304" s="27" t="s">
        <v>7</v>
      </c>
      <c r="AV304" s="32">
        <f>AW304+AX304</f>
        <v>0</v>
      </c>
      <c r="AW304" s="32">
        <f>G304*AO304</f>
        <v>0</v>
      </c>
      <c r="AX304" s="32">
        <f>G304*AP304</f>
        <v>0</v>
      </c>
      <c r="AY304" s="33" t="s">
        <v>725</v>
      </c>
      <c r="AZ304" s="33" t="s">
        <v>738</v>
      </c>
      <c r="BA304" s="28" t="s">
        <v>739</v>
      </c>
      <c r="BC304" s="32">
        <f>AW304+AX304</f>
        <v>0</v>
      </c>
      <c r="BD304" s="32">
        <f>H304/(100-BE304)*100</f>
        <v>0</v>
      </c>
      <c r="BE304" s="32">
        <v>0</v>
      </c>
      <c r="BF304" s="32">
        <f>302</f>
        <v>302</v>
      </c>
      <c r="BH304" s="15">
        <f>G304*AO304</f>
        <v>0</v>
      </c>
      <c r="BI304" s="15">
        <f>G304*AP304</f>
        <v>0</v>
      </c>
      <c r="BJ304" s="15">
        <f>G304*H304</f>
        <v>0</v>
      </c>
    </row>
    <row r="305" spans="1:62" x14ac:dyDescent="0.2">
      <c r="C305" s="58" t="s">
        <v>574</v>
      </c>
      <c r="D305" s="59"/>
      <c r="E305" s="59"/>
      <c r="G305" s="16">
        <v>1368.5</v>
      </c>
    </row>
    <row r="306" spans="1:62" x14ac:dyDescent="0.2">
      <c r="A306" s="5"/>
      <c r="B306" s="13" t="s">
        <v>102</v>
      </c>
      <c r="C306" s="66" t="s">
        <v>575</v>
      </c>
      <c r="D306" s="67"/>
      <c r="E306" s="67"/>
      <c r="F306" s="5" t="s">
        <v>6</v>
      </c>
      <c r="G306" s="5" t="s">
        <v>6</v>
      </c>
      <c r="H306" s="5" t="s">
        <v>6</v>
      </c>
      <c r="I306" s="35">
        <f>SUM(I307:I343)</f>
        <v>0</v>
      </c>
      <c r="J306" s="35">
        <f>SUM(J307:J343)</f>
        <v>0</v>
      </c>
      <c r="K306" s="35">
        <f>SUM(K307:K343)</f>
        <v>0</v>
      </c>
      <c r="L306" s="28"/>
      <c r="AI306" s="28"/>
      <c r="AS306" s="35">
        <f>SUM(AJ307:AJ343)</f>
        <v>0</v>
      </c>
      <c r="AT306" s="35">
        <f>SUM(AK307:AK343)</f>
        <v>0</v>
      </c>
      <c r="AU306" s="35">
        <f>SUM(AL307:AL343)</f>
        <v>0</v>
      </c>
    </row>
    <row r="307" spans="1:62" x14ac:dyDescent="0.2">
      <c r="A307" s="4" t="s">
        <v>112</v>
      </c>
      <c r="B307" s="4" t="s">
        <v>263</v>
      </c>
      <c r="C307" s="60" t="s">
        <v>576</v>
      </c>
      <c r="D307" s="61"/>
      <c r="E307" s="61"/>
      <c r="F307" s="4" t="s">
        <v>668</v>
      </c>
      <c r="G307" s="15">
        <v>10.215</v>
      </c>
      <c r="H307" s="15">
        <v>0</v>
      </c>
      <c r="I307" s="15">
        <f>G307*AO307</f>
        <v>0</v>
      </c>
      <c r="J307" s="15">
        <f>G307*AP307</f>
        <v>0</v>
      </c>
      <c r="K307" s="15">
        <f>G307*H307</f>
        <v>0</v>
      </c>
      <c r="L307" s="27" t="s">
        <v>690</v>
      </c>
      <c r="Z307" s="32">
        <f>IF(AQ307="5",BJ307,0)</f>
        <v>0</v>
      </c>
      <c r="AB307" s="32">
        <f>IF(AQ307="1",BH307,0)</f>
        <v>0</v>
      </c>
      <c r="AC307" s="32">
        <f>IF(AQ307="1",BI307,0)</f>
        <v>0</v>
      </c>
      <c r="AD307" s="32">
        <f>IF(AQ307="7",BH307,0)</f>
        <v>0</v>
      </c>
      <c r="AE307" s="32">
        <f>IF(AQ307="7",BI307,0)</f>
        <v>0</v>
      </c>
      <c r="AF307" s="32">
        <f>IF(AQ307="2",BH307,0)</f>
        <v>0</v>
      </c>
      <c r="AG307" s="32">
        <f>IF(AQ307="2",BI307,0)</f>
        <v>0</v>
      </c>
      <c r="AH307" s="32">
        <f>IF(AQ307="0",BJ307,0)</f>
        <v>0</v>
      </c>
      <c r="AI307" s="28"/>
      <c r="AJ307" s="15">
        <f>IF(AN307=0,K307,0)</f>
        <v>0</v>
      </c>
      <c r="AK307" s="15">
        <f>IF(AN307=15,K307,0)</f>
        <v>0</v>
      </c>
      <c r="AL307" s="15">
        <f>IF(AN307=21,K307,0)</f>
        <v>0</v>
      </c>
      <c r="AN307" s="32">
        <v>21</v>
      </c>
      <c r="AO307" s="32">
        <f>H307*0</f>
        <v>0</v>
      </c>
      <c r="AP307" s="32">
        <f>H307*(1-0)</f>
        <v>0</v>
      </c>
      <c r="AQ307" s="27" t="s">
        <v>7</v>
      </c>
      <c r="AV307" s="32">
        <f>AW307+AX307</f>
        <v>0</v>
      </c>
      <c r="AW307" s="32">
        <f>G307*AO307</f>
        <v>0</v>
      </c>
      <c r="AX307" s="32">
        <f>G307*AP307</f>
        <v>0</v>
      </c>
      <c r="AY307" s="33" t="s">
        <v>726</v>
      </c>
      <c r="AZ307" s="33" t="s">
        <v>738</v>
      </c>
      <c r="BA307" s="28" t="s">
        <v>739</v>
      </c>
      <c r="BC307" s="32">
        <f>AW307+AX307</f>
        <v>0</v>
      </c>
      <c r="BD307" s="32">
        <f>H307/(100-BE307)*100</f>
        <v>0</v>
      </c>
      <c r="BE307" s="32">
        <v>0</v>
      </c>
      <c r="BF307" s="32">
        <f>305</f>
        <v>305</v>
      </c>
      <c r="BH307" s="15">
        <f>G307*AO307</f>
        <v>0</v>
      </c>
      <c r="BI307" s="15">
        <f>G307*AP307</f>
        <v>0</v>
      </c>
      <c r="BJ307" s="15">
        <f>G307*H307</f>
        <v>0</v>
      </c>
    </row>
    <row r="308" spans="1:62" x14ac:dyDescent="0.2">
      <c r="C308" s="58" t="s">
        <v>577</v>
      </c>
      <c r="D308" s="59"/>
      <c r="E308" s="59"/>
      <c r="G308" s="16">
        <v>10.215</v>
      </c>
    </row>
    <row r="309" spans="1:62" x14ac:dyDescent="0.2">
      <c r="A309" s="4" t="s">
        <v>113</v>
      </c>
      <c r="B309" s="4" t="s">
        <v>264</v>
      </c>
      <c r="C309" s="60" t="s">
        <v>578</v>
      </c>
      <c r="D309" s="61"/>
      <c r="E309" s="61"/>
      <c r="F309" s="4" t="s">
        <v>667</v>
      </c>
      <c r="G309" s="15">
        <v>9</v>
      </c>
      <c r="H309" s="15">
        <v>0</v>
      </c>
      <c r="I309" s="15">
        <f>G309*AO309</f>
        <v>0</v>
      </c>
      <c r="J309" s="15">
        <f>G309*AP309</f>
        <v>0</v>
      </c>
      <c r="K309" s="15">
        <f>G309*H309</f>
        <v>0</v>
      </c>
      <c r="L309" s="27" t="s">
        <v>690</v>
      </c>
      <c r="Z309" s="32">
        <f>IF(AQ309="5",BJ309,0)</f>
        <v>0</v>
      </c>
      <c r="AB309" s="32">
        <f>IF(AQ309="1",BH309,0)</f>
        <v>0</v>
      </c>
      <c r="AC309" s="32">
        <f>IF(AQ309="1",BI309,0)</f>
        <v>0</v>
      </c>
      <c r="AD309" s="32">
        <f>IF(AQ309="7",BH309,0)</f>
        <v>0</v>
      </c>
      <c r="AE309" s="32">
        <f>IF(AQ309="7",BI309,0)</f>
        <v>0</v>
      </c>
      <c r="AF309" s="32">
        <f>IF(AQ309="2",BH309,0)</f>
        <v>0</v>
      </c>
      <c r="AG309" s="32">
        <f>IF(AQ309="2",BI309,0)</f>
        <v>0</v>
      </c>
      <c r="AH309" s="32">
        <f>IF(AQ309="0",BJ309,0)</f>
        <v>0</v>
      </c>
      <c r="AI309" s="28"/>
      <c r="AJ309" s="15">
        <f>IF(AN309=0,K309,0)</f>
        <v>0</v>
      </c>
      <c r="AK309" s="15">
        <f>IF(AN309=15,K309,0)</f>
        <v>0</v>
      </c>
      <c r="AL309" s="15">
        <f>IF(AN309=21,K309,0)</f>
        <v>0</v>
      </c>
      <c r="AN309" s="32">
        <v>21</v>
      </c>
      <c r="AO309" s="32">
        <f>H309*0.0772610210574156</f>
        <v>0</v>
      </c>
      <c r="AP309" s="32">
        <f>H309*(1-0.0772610210574156)</f>
        <v>0</v>
      </c>
      <c r="AQ309" s="27" t="s">
        <v>7</v>
      </c>
      <c r="AV309" s="32">
        <f>AW309+AX309</f>
        <v>0</v>
      </c>
      <c r="AW309" s="32">
        <f>G309*AO309</f>
        <v>0</v>
      </c>
      <c r="AX309" s="32">
        <f>G309*AP309</f>
        <v>0</v>
      </c>
      <c r="AY309" s="33" t="s">
        <v>726</v>
      </c>
      <c r="AZ309" s="33" t="s">
        <v>738</v>
      </c>
      <c r="BA309" s="28" t="s">
        <v>739</v>
      </c>
      <c r="BC309" s="32">
        <f>AW309+AX309</f>
        <v>0</v>
      </c>
      <c r="BD309" s="32">
        <f>H309/(100-BE309)*100</f>
        <v>0</v>
      </c>
      <c r="BE309" s="32">
        <v>0</v>
      </c>
      <c r="BF309" s="32">
        <f>307</f>
        <v>307</v>
      </c>
      <c r="BH309" s="15">
        <f>G309*AO309</f>
        <v>0</v>
      </c>
      <c r="BI309" s="15">
        <f>G309*AP309</f>
        <v>0</v>
      </c>
      <c r="BJ309" s="15">
        <f>G309*H309</f>
        <v>0</v>
      </c>
    </row>
    <row r="310" spans="1:62" x14ac:dyDescent="0.2">
      <c r="C310" s="58" t="s">
        <v>579</v>
      </c>
      <c r="D310" s="59"/>
      <c r="E310" s="59"/>
      <c r="G310" s="16">
        <v>9</v>
      </c>
    </row>
    <row r="311" spans="1:62" x14ac:dyDescent="0.2">
      <c r="A311" s="4" t="s">
        <v>114</v>
      </c>
      <c r="B311" s="4" t="s">
        <v>265</v>
      </c>
      <c r="C311" s="60" t="s">
        <v>580</v>
      </c>
      <c r="D311" s="61"/>
      <c r="E311" s="61"/>
      <c r="F311" s="4" t="s">
        <v>671</v>
      </c>
      <c r="G311" s="15">
        <v>125</v>
      </c>
      <c r="H311" s="15">
        <v>0</v>
      </c>
      <c r="I311" s="15">
        <f>G311*AO311</f>
        <v>0</v>
      </c>
      <c r="J311" s="15">
        <f>G311*AP311</f>
        <v>0</v>
      </c>
      <c r="K311" s="15">
        <f>G311*H311</f>
        <v>0</v>
      </c>
      <c r="L311" s="27" t="s">
        <v>690</v>
      </c>
      <c r="Z311" s="32">
        <f>IF(AQ311="5",BJ311,0)</f>
        <v>0</v>
      </c>
      <c r="AB311" s="32">
        <f>IF(AQ311="1",BH311,0)</f>
        <v>0</v>
      </c>
      <c r="AC311" s="32">
        <f>IF(AQ311="1",BI311,0)</f>
        <v>0</v>
      </c>
      <c r="AD311" s="32">
        <f>IF(AQ311="7",BH311,0)</f>
        <v>0</v>
      </c>
      <c r="AE311" s="32">
        <f>IF(AQ311="7",BI311,0)</f>
        <v>0</v>
      </c>
      <c r="AF311" s="32">
        <f>IF(AQ311="2",BH311,0)</f>
        <v>0</v>
      </c>
      <c r="AG311" s="32">
        <f>IF(AQ311="2",BI311,0)</f>
        <v>0</v>
      </c>
      <c r="AH311" s="32">
        <f>IF(AQ311="0",BJ311,0)</f>
        <v>0</v>
      </c>
      <c r="AI311" s="28"/>
      <c r="AJ311" s="15">
        <f>IF(AN311=0,K311,0)</f>
        <v>0</v>
      </c>
      <c r="AK311" s="15">
        <f>IF(AN311=15,K311,0)</f>
        <v>0</v>
      </c>
      <c r="AL311" s="15">
        <f>IF(AN311=21,K311,0)</f>
        <v>0</v>
      </c>
      <c r="AN311" s="32">
        <v>21</v>
      </c>
      <c r="AO311" s="32">
        <f>H311*0</f>
        <v>0</v>
      </c>
      <c r="AP311" s="32">
        <f>H311*(1-0)</f>
        <v>0</v>
      </c>
      <c r="AQ311" s="27" t="s">
        <v>7</v>
      </c>
      <c r="AV311" s="32">
        <f>AW311+AX311</f>
        <v>0</v>
      </c>
      <c r="AW311" s="32">
        <f>G311*AO311</f>
        <v>0</v>
      </c>
      <c r="AX311" s="32">
        <f>G311*AP311</f>
        <v>0</v>
      </c>
      <c r="AY311" s="33" t="s">
        <v>726</v>
      </c>
      <c r="AZ311" s="33" t="s">
        <v>738</v>
      </c>
      <c r="BA311" s="28" t="s">
        <v>739</v>
      </c>
      <c r="BC311" s="32">
        <f>AW311+AX311</f>
        <v>0</v>
      </c>
      <c r="BD311" s="32">
        <f>H311/(100-BE311)*100</f>
        <v>0</v>
      </c>
      <c r="BE311" s="32">
        <v>0</v>
      </c>
      <c r="BF311" s="32">
        <f>309</f>
        <v>309</v>
      </c>
      <c r="BH311" s="15">
        <f>G311*AO311</f>
        <v>0</v>
      </c>
      <c r="BI311" s="15">
        <f>G311*AP311</f>
        <v>0</v>
      </c>
      <c r="BJ311" s="15">
        <f>G311*H311</f>
        <v>0</v>
      </c>
    </row>
    <row r="312" spans="1:62" x14ac:dyDescent="0.2">
      <c r="C312" s="58" t="s">
        <v>581</v>
      </c>
      <c r="D312" s="59"/>
      <c r="E312" s="59"/>
      <c r="G312" s="16">
        <v>2</v>
      </c>
    </row>
    <row r="313" spans="1:62" x14ac:dyDescent="0.2">
      <c r="C313" s="58" t="s">
        <v>582</v>
      </c>
      <c r="D313" s="59"/>
      <c r="E313" s="59"/>
      <c r="G313" s="16">
        <v>105</v>
      </c>
    </row>
    <row r="314" spans="1:62" x14ac:dyDescent="0.2">
      <c r="C314" s="58" t="s">
        <v>583</v>
      </c>
      <c r="D314" s="59"/>
      <c r="E314" s="59"/>
      <c r="G314" s="16">
        <v>15</v>
      </c>
    </row>
    <row r="315" spans="1:62" x14ac:dyDescent="0.2">
      <c r="C315" s="58" t="s">
        <v>584</v>
      </c>
      <c r="D315" s="59"/>
      <c r="E315" s="59"/>
      <c r="G315" s="16">
        <v>2</v>
      </c>
    </row>
    <row r="316" spans="1:62" x14ac:dyDescent="0.2">
      <c r="C316" s="58" t="s">
        <v>585</v>
      </c>
      <c r="D316" s="59"/>
      <c r="E316" s="59"/>
      <c r="G316" s="16">
        <v>1</v>
      </c>
    </row>
    <row r="317" spans="1:62" x14ac:dyDescent="0.2">
      <c r="A317" s="4" t="s">
        <v>115</v>
      </c>
      <c r="B317" s="4" t="s">
        <v>266</v>
      </c>
      <c r="C317" s="60" t="s">
        <v>586</v>
      </c>
      <c r="D317" s="61"/>
      <c r="E317" s="61"/>
      <c r="F317" s="4" t="s">
        <v>671</v>
      </c>
      <c r="G317" s="15">
        <v>53</v>
      </c>
      <c r="H317" s="15">
        <v>0</v>
      </c>
      <c r="I317" s="15">
        <f>G317*AO317</f>
        <v>0</v>
      </c>
      <c r="J317" s="15">
        <f>G317*AP317</f>
        <v>0</v>
      </c>
      <c r="K317" s="15">
        <f>G317*H317</f>
        <v>0</v>
      </c>
      <c r="L317" s="27" t="s">
        <v>690</v>
      </c>
      <c r="Z317" s="32">
        <f>IF(AQ317="5",BJ317,0)</f>
        <v>0</v>
      </c>
      <c r="AB317" s="32">
        <f>IF(AQ317="1",BH317,0)</f>
        <v>0</v>
      </c>
      <c r="AC317" s="32">
        <f>IF(AQ317="1",BI317,0)</f>
        <v>0</v>
      </c>
      <c r="AD317" s="32">
        <f>IF(AQ317="7",BH317,0)</f>
        <v>0</v>
      </c>
      <c r="AE317" s="32">
        <f>IF(AQ317="7",BI317,0)</f>
        <v>0</v>
      </c>
      <c r="AF317" s="32">
        <f>IF(AQ317="2",BH317,0)</f>
        <v>0</v>
      </c>
      <c r="AG317" s="32">
        <f>IF(AQ317="2",BI317,0)</f>
        <v>0</v>
      </c>
      <c r="AH317" s="32">
        <f>IF(AQ317="0",BJ317,0)</f>
        <v>0</v>
      </c>
      <c r="AI317" s="28"/>
      <c r="AJ317" s="15">
        <f>IF(AN317=0,K317,0)</f>
        <v>0</v>
      </c>
      <c r="AK317" s="15">
        <f>IF(AN317=15,K317,0)</f>
        <v>0</v>
      </c>
      <c r="AL317" s="15">
        <f>IF(AN317=21,K317,0)</f>
        <v>0</v>
      </c>
      <c r="AN317" s="32">
        <v>21</v>
      </c>
      <c r="AO317" s="32">
        <f>H317*0</f>
        <v>0</v>
      </c>
      <c r="AP317" s="32">
        <f>H317*(1-0)</f>
        <v>0</v>
      </c>
      <c r="AQ317" s="27" t="s">
        <v>7</v>
      </c>
      <c r="AV317" s="32">
        <f>AW317+AX317</f>
        <v>0</v>
      </c>
      <c r="AW317" s="32">
        <f>G317*AO317</f>
        <v>0</v>
      </c>
      <c r="AX317" s="32">
        <f>G317*AP317</f>
        <v>0</v>
      </c>
      <c r="AY317" s="33" t="s">
        <v>726</v>
      </c>
      <c r="AZ317" s="33" t="s">
        <v>738</v>
      </c>
      <c r="BA317" s="28" t="s">
        <v>739</v>
      </c>
      <c r="BC317" s="32">
        <f>AW317+AX317</f>
        <v>0</v>
      </c>
      <c r="BD317" s="32">
        <f>H317/(100-BE317)*100</f>
        <v>0</v>
      </c>
      <c r="BE317" s="32">
        <v>0</v>
      </c>
      <c r="BF317" s="32">
        <f>315</f>
        <v>315</v>
      </c>
      <c r="BH317" s="15">
        <f>G317*AO317</f>
        <v>0</v>
      </c>
      <c r="BI317" s="15">
        <f>G317*AP317</f>
        <v>0</v>
      </c>
      <c r="BJ317" s="15">
        <f>G317*H317</f>
        <v>0</v>
      </c>
    </row>
    <row r="318" spans="1:62" x14ac:dyDescent="0.2">
      <c r="C318" s="58" t="s">
        <v>587</v>
      </c>
      <c r="D318" s="59"/>
      <c r="E318" s="59"/>
      <c r="G318" s="16">
        <v>35</v>
      </c>
    </row>
    <row r="319" spans="1:62" x14ac:dyDescent="0.2">
      <c r="C319" s="58" t="s">
        <v>583</v>
      </c>
      <c r="D319" s="59"/>
      <c r="E319" s="59"/>
      <c r="G319" s="16">
        <v>15</v>
      </c>
    </row>
    <row r="320" spans="1:62" x14ac:dyDescent="0.2">
      <c r="C320" s="58" t="s">
        <v>584</v>
      </c>
      <c r="D320" s="59"/>
      <c r="E320" s="59"/>
      <c r="G320" s="16">
        <v>2</v>
      </c>
    </row>
    <row r="321" spans="1:62" x14ac:dyDescent="0.2">
      <c r="C321" s="58" t="s">
        <v>585</v>
      </c>
      <c r="D321" s="59"/>
      <c r="E321" s="59"/>
      <c r="G321" s="16">
        <v>1</v>
      </c>
    </row>
    <row r="322" spans="1:62" x14ac:dyDescent="0.2">
      <c r="A322" s="4" t="s">
        <v>116</v>
      </c>
      <c r="B322" s="4" t="s">
        <v>267</v>
      </c>
      <c r="C322" s="60" t="s">
        <v>588</v>
      </c>
      <c r="D322" s="61"/>
      <c r="E322" s="61"/>
      <c r="F322" s="4" t="s">
        <v>667</v>
      </c>
      <c r="G322" s="15">
        <v>1.95</v>
      </c>
      <c r="H322" s="15">
        <v>0</v>
      </c>
      <c r="I322" s="15">
        <f>G322*AO322</f>
        <v>0</v>
      </c>
      <c r="J322" s="15">
        <f>G322*AP322</f>
        <v>0</v>
      </c>
      <c r="K322" s="15">
        <f>G322*H322</f>
        <v>0</v>
      </c>
      <c r="L322" s="27" t="s">
        <v>690</v>
      </c>
      <c r="Z322" s="32">
        <f>IF(AQ322="5",BJ322,0)</f>
        <v>0</v>
      </c>
      <c r="AB322" s="32">
        <f>IF(AQ322="1",BH322,0)</f>
        <v>0</v>
      </c>
      <c r="AC322" s="32">
        <f>IF(AQ322="1",BI322,0)</f>
        <v>0</v>
      </c>
      <c r="AD322" s="32">
        <f>IF(AQ322="7",BH322,0)</f>
        <v>0</v>
      </c>
      <c r="AE322" s="32">
        <f>IF(AQ322="7",BI322,0)</f>
        <v>0</v>
      </c>
      <c r="AF322" s="32">
        <f>IF(AQ322="2",BH322,0)</f>
        <v>0</v>
      </c>
      <c r="AG322" s="32">
        <f>IF(AQ322="2",BI322,0)</f>
        <v>0</v>
      </c>
      <c r="AH322" s="32">
        <f>IF(AQ322="0",BJ322,0)</f>
        <v>0</v>
      </c>
      <c r="AI322" s="28"/>
      <c r="AJ322" s="15">
        <f>IF(AN322=0,K322,0)</f>
        <v>0</v>
      </c>
      <c r="AK322" s="15">
        <f>IF(AN322=15,K322,0)</f>
        <v>0</v>
      </c>
      <c r="AL322" s="15">
        <f>IF(AN322=21,K322,0)</f>
        <v>0</v>
      </c>
      <c r="AN322" s="32">
        <v>21</v>
      </c>
      <c r="AO322" s="32">
        <f>H322*0.158067244660605</f>
        <v>0</v>
      </c>
      <c r="AP322" s="32">
        <f>H322*(1-0.158067244660605)</f>
        <v>0</v>
      </c>
      <c r="AQ322" s="27" t="s">
        <v>7</v>
      </c>
      <c r="AV322" s="32">
        <f>AW322+AX322</f>
        <v>0</v>
      </c>
      <c r="AW322" s="32">
        <f>G322*AO322</f>
        <v>0</v>
      </c>
      <c r="AX322" s="32">
        <f>G322*AP322</f>
        <v>0</v>
      </c>
      <c r="AY322" s="33" t="s">
        <v>726</v>
      </c>
      <c r="AZ322" s="33" t="s">
        <v>738</v>
      </c>
      <c r="BA322" s="28" t="s">
        <v>739</v>
      </c>
      <c r="BC322" s="32">
        <f>AW322+AX322</f>
        <v>0</v>
      </c>
      <c r="BD322" s="32">
        <f>H322/(100-BE322)*100</f>
        <v>0</v>
      </c>
      <c r="BE322" s="32">
        <v>0</v>
      </c>
      <c r="BF322" s="32">
        <f>320</f>
        <v>320</v>
      </c>
      <c r="BH322" s="15">
        <f>G322*AO322</f>
        <v>0</v>
      </c>
      <c r="BI322" s="15">
        <f>G322*AP322</f>
        <v>0</v>
      </c>
      <c r="BJ322" s="15">
        <f>G322*H322</f>
        <v>0</v>
      </c>
    </row>
    <row r="323" spans="1:62" x14ac:dyDescent="0.2">
      <c r="C323" s="58" t="s">
        <v>589</v>
      </c>
      <c r="D323" s="59"/>
      <c r="E323" s="59"/>
      <c r="G323" s="16">
        <v>1.95</v>
      </c>
    </row>
    <row r="324" spans="1:62" x14ac:dyDescent="0.2">
      <c r="A324" s="4" t="s">
        <v>117</v>
      </c>
      <c r="B324" s="4" t="s">
        <v>268</v>
      </c>
      <c r="C324" s="60" t="s">
        <v>590</v>
      </c>
      <c r="D324" s="61"/>
      <c r="E324" s="61"/>
      <c r="F324" s="4" t="s">
        <v>667</v>
      </c>
      <c r="G324" s="15">
        <v>206.64</v>
      </c>
      <c r="H324" s="15">
        <v>0</v>
      </c>
      <c r="I324" s="15">
        <f>G324*AO324</f>
        <v>0</v>
      </c>
      <c r="J324" s="15">
        <f>G324*AP324</f>
        <v>0</v>
      </c>
      <c r="K324" s="15">
        <f>G324*H324</f>
        <v>0</v>
      </c>
      <c r="L324" s="27" t="s">
        <v>690</v>
      </c>
      <c r="Z324" s="32">
        <f>IF(AQ324="5",BJ324,0)</f>
        <v>0</v>
      </c>
      <c r="AB324" s="32">
        <f>IF(AQ324="1",BH324,0)</f>
        <v>0</v>
      </c>
      <c r="AC324" s="32">
        <f>IF(AQ324="1",BI324,0)</f>
        <v>0</v>
      </c>
      <c r="AD324" s="32">
        <f>IF(AQ324="7",BH324,0)</f>
        <v>0</v>
      </c>
      <c r="AE324" s="32">
        <f>IF(AQ324="7",BI324,0)</f>
        <v>0</v>
      </c>
      <c r="AF324" s="32">
        <f>IF(AQ324="2",BH324,0)</f>
        <v>0</v>
      </c>
      <c r="AG324" s="32">
        <f>IF(AQ324="2",BI324,0)</f>
        <v>0</v>
      </c>
      <c r="AH324" s="32">
        <f>IF(AQ324="0",BJ324,0)</f>
        <v>0</v>
      </c>
      <c r="AI324" s="28"/>
      <c r="AJ324" s="15">
        <f>IF(AN324=0,K324,0)</f>
        <v>0</v>
      </c>
      <c r="AK324" s="15">
        <f>IF(AN324=15,K324,0)</f>
        <v>0</v>
      </c>
      <c r="AL324" s="15">
        <f>IF(AN324=21,K324,0)</f>
        <v>0</v>
      </c>
      <c r="AN324" s="32">
        <v>21</v>
      </c>
      <c r="AO324" s="32">
        <f>H324*0.190808080808081</f>
        <v>0</v>
      </c>
      <c r="AP324" s="32">
        <f>H324*(1-0.190808080808081)</f>
        <v>0</v>
      </c>
      <c r="AQ324" s="27" t="s">
        <v>7</v>
      </c>
      <c r="AV324" s="32">
        <f>AW324+AX324</f>
        <v>0</v>
      </c>
      <c r="AW324" s="32">
        <f>G324*AO324</f>
        <v>0</v>
      </c>
      <c r="AX324" s="32">
        <f>G324*AP324</f>
        <v>0</v>
      </c>
      <c r="AY324" s="33" t="s">
        <v>726</v>
      </c>
      <c r="AZ324" s="33" t="s">
        <v>738</v>
      </c>
      <c r="BA324" s="28" t="s">
        <v>739</v>
      </c>
      <c r="BC324" s="32">
        <f>AW324+AX324</f>
        <v>0</v>
      </c>
      <c r="BD324" s="32">
        <f>H324/(100-BE324)*100</f>
        <v>0</v>
      </c>
      <c r="BE324" s="32">
        <v>0</v>
      </c>
      <c r="BF324" s="32">
        <f>322</f>
        <v>322</v>
      </c>
      <c r="BH324" s="15">
        <f>G324*AO324</f>
        <v>0</v>
      </c>
      <c r="BI324" s="15">
        <f>G324*AP324</f>
        <v>0</v>
      </c>
      <c r="BJ324" s="15">
        <f>G324*H324</f>
        <v>0</v>
      </c>
    </row>
    <row r="325" spans="1:62" x14ac:dyDescent="0.2">
      <c r="C325" s="58" t="s">
        <v>591</v>
      </c>
      <c r="D325" s="59"/>
      <c r="E325" s="59"/>
      <c r="G325" s="16">
        <v>201.6</v>
      </c>
    </row>
    <row r="326" spans="1:62" x14ac:dyDescent="0.2">
      <c r="C326" s="58" t="s">
        <v>592</v>
      </c>
      <c r="D326" s="59"/>
      <c r="E326" s="59"/>
      <c r="G326" s="16">
        <v>5.04</v>
      </c>
    </row>
    <row r="327" spans="1:62" x14ac:dyDescent="0.2">
      <c r="A327" s="4" t="s">
        <v>118</v>
      </c>
      <c r="B327" s="4" t="s">
        <v>269</v>
      </c>
      <c r="C327" s="60" t="s">
        <v>593</v>
      </c>
      <c r="D327" s="61"/>
      <c r="E327" s="61"/>
      <c r="F327" s="4" t="s">
        <v>667</v>
      </c>
      <c r="G327" s="15">
        <v>57.15</v>
      </c>
      <c r="H327" s="15">
        <v>0</v>
      </c>
      <c r="I327" s="15">
        <f>G327*AO327</f>
        <v>0</v>
      </c>
      <c r="J327" s="15">
        <f>G327*AP327</f>
        <v>0</v>
      </c>
      <c r="K327" s="15">
        <f>G327*H327</f>
        <v>0</v>
      </c>
      <c r="L327" s="27" t="s">
        <v>690</v>
      </c>
      <c r="Z327" s="32">
        <f>IF(AQ327="5",BJ327,0)</f>
        <v>0</v>
      </c>
      <c r="AB327" s="32">
        <f>IF(AQ327="1",BH327,0)</f>
        <v>0</v>
      </c>
      <c r="AC327" s="32">
        <f>IF(AQ327="1",BI327,0)</f>
        <v>0</v>
      </c>
      <c r="AD327" s="32">
        <f>IF(AQ327="7",BH327,0)</f>
        <v>0</v>
      </c>
      <c r="AE327" s="32">
        <f>IF(AQ327="7",BI327,0)</f>
        <v>0</v>
      </c>
      <c r="AF327" s="32">
        <f>IF(AQ327="2",BH327,0)</f>
        <v>0</v>
      </c>
      <c r="AG327" s="32">
        <f>IF(AQ327="2",BI327,0)</f>
        <v>0</v>
      </c>
      <c r="AH327" s="32">
        <f>IF(AQ327="0",BJ327,0)</f>
        <v>0</v>
      </c>
      <c r="AI327" s="28"/>
      <c r="AJ327" s="15">
        <f>IF(AN327=0,K327,0)</f>
        <v>0</v>
      </c>
      <c r="AK327" s="15">
        <f>IF(AN327=15,K327,0)</f>
        <v>0</v>
      </c>
      <c r="AL327" s="15">
        <f>IF(AN327=21,K327,0)</f>
        <v>0</v>
      </c>
      <c r="AN327" s="32">
        <v>21</v>
      </c>
      <c r="AO327" s="32">
        <f>H327*0.177731092436975</f>
        <v>0</v>
      </c>
      <c r="AP327" s="32">
        <f>H327*(1-0.177731092436975)</f>
        <v>0</v>
      </c>
      <c r="AQ327" s="27" t="s">
        <v>7</v>
      </c>
      <c r="AV327" s="32">
        <f>AW327+AX327</f>
        <v>0</v>
      </c>
      <c r="AW327" s="32">
        <f>G327*AO327</f>
        <v>0</v>
      </c>
      <c r="AX327" s="32">
        <f>G327*AP327</f>
        <v>0</v>
      </c>
      <c r="AY327" s="33" t="s">
        <v>726</v>
      </c>
      <c r="AZ327" s="33" t="s">
        <v>738</v>
      </c>
      <c r="BA327" s="28" t="s">
        <v>739</v>
      </c>
      <c r="BC327" s="32">
        <f>AW327+AX327</f>
        <v>0</v>
      </c>
      <c r="BD327" s="32">
        <f>H327/(100-BE327)*100</f>
        <v>0</v>
      </c>
      <c r="BE327" s="32">
        <v>0</v>
      </c>
      <c r="BF327" s="32">
        <f>325</f>
        <v>325</v>
      </c>
      <c r="BH327" s="15">
        <f>G327*AO327</f>
        <v>0</v>
      </c>
      <c r="BI327" s="15">
        <f>G327*AP327</f>
        <v>0</v>
      </c>
      <c r="BJ327" s="15">
        <f>G327*H327</f>
        <v>0</v>
      </c>
    </row>
    <row r="328" spans="1:62" x14ac:dyDescent="0.2">
      <c r="C328" s="58" t="s">
        <v>594</v>
      </c>
      <c r="D328" s="59"/>
      <c r="E328" s="59"/>
      <c r="G328" s="16">
        <v>54</v>
      </c>
    </row>
    <row r="329" spans="1:62" x14ac:dyDescent="0.2">
      <c r="C329" s="58" t="s">
        <v>595</v>
      </c>
      <c r="D329" s="59"/>
      <c r="E329" s="59"/>
      <c r="G329" s="16">
        <v>3.15</v>
      </c>
    </row>
    <row r="330" spans="1:62" x14ac:dyDescent="0.2">
      <c r="A330" s="4" t="s">
        <v>119</v>
      </c>
      <c r="B330" s="4" t="s">
        <v>270</v>
      </c>
      <c r="C330" s="60" t="s">
        <v>596</v>
      </c>
      <c r="D330" s="61"/>
      <c r="E330" s="61"/>
      <c r="F330" s="4" t="s">
        <v>671</v>
      </c>
      <c r="G330" s="15">
        <v>1</v>
      </c>
      <c r="H330" s="15">
        <v>0</v>
      </c>
      <c r="I330" s="15">
        <f>G330*AO330</f>
        <v>0</v>
      </c>
      <c r="J330" s="15">
        <f>G330*AP330</f>
        <v>0</v>
      </c>
      <c r="K330" s="15">
        <f>G330*H330</f>
        <v>0</v>
      </c>
      <c r="L330" s="27" t="s">
        <v>690</v>
      </c>
      <c r="Z330" s="32">
        <f>IF(AQ330="5",BJ330,0)</f>
        <v>0</v>
      </c>
      <c r="AB330" s="32">
        <f>IF(AQ330="1",BH330,0)</f>
        <v>0</v>
      </c>
      <c r="AC330" s="32">
        <f>IF(AQ330="1",BI330,0)</f>
        <v>0</v>
      </c>
      <c r="AD330" s="32">
        <f>IF(AQ330="7",BH330,0)</f>
        <v>0</v>
      </c>
      <c r="AE330" s="32">
        <f>IF(AQ330="7",BI330,0)</f>
        <v>0</v>
      </c>
      <c r="AF330" s="32">
        <f>IF(AQ330="2",BH330,0)</f>
        <v>0</v>
      </c>
      <c r="AG330" s="32">
        <f>IF(AQ330="2",BI330,0)</f>
        <v>0</v>
      </c>
      <c r="AH330" s="32">
        <f>IF(AQ330="0",BJ330,0)</f>
        <v>0</v>
      </c>
      <c r="AI330" s="28"/>
      <c r="AJ330" s="15">
        <f>IF(AN330=0,K330,0)</f>
        <v>0</v>
      </c>
      <c r="AK330" s="15">
        <f>IF(AN330=15,K330,0)</f>
        <v>0</v>
      </c>
      <c r="AL330" s="15">
        <f>IF(AN330=21,K330,0)</f>
        <v>0</v>
      </c>
      <c r="AN330" s="32">
        <v>21</v>
      </c>
      <c r="AO330" s="32">
        <f>H330*0</f>
        <v>0</v>
      </c>
      <c r="AP330" s="32">
        <f>H330*(1-0)</f>
        <v>0</v>
      </c>
      <c r="AQ330" s="27" t="s">
        <v>7</v>
      </c>
      <c r="AV330" s="32">
        <f>AW330+AX330</f>
        <v>0</v>
      </c>
      <c r="AW330" s="32">
        <f>G330*AO330</f>
        <v>0</v>
      </c>
      <c r="AX330" s="32">
        <f>G330*AP330</f>
        <v>0</v>
      </c>
      <c r="AY330" s="33" t="s">
        <v>726</v>
      </c>
      <c r="AZ330" s="33" t="s">
        <v>738</v>
      </c>
      <c r="BA330" s="28" t="s">
        <v>739</v>
      </c>
      <c r="BC330" s="32">
        <f>AW330+AX330</f>
        <v>0</v>
      </c>
      <c r="BD330" s="32">
        <f>H330/(100-BE330)*100</f>
        <v>0</v>
      </c>
      <c r="BE330" s="32">
        <v>0</v>
      </c>
      <c r="BF330" s="32">
        <f>328</f>
        <v>328</v>
      </c>
      <c r="BH330" s="15">
        <f>G330*AO330</f>
        <v>0</v>
      </c>
      <c r="BI330" s="15">
        <f>G330*AP330</f>
        <v>0</v>
      </c>
      <c r="BJ330" s="15">
        <f>G330*H330</f>
        <v>0</v>
      </c>
    </row>
    <row r="331" spans="1:62" x14ac:dyDescent="0.2">
      <c r="C331" s="58" t="s">
        <v>597</v>
      </c>
      <c r="D331" s="59"/>
      <c r="E331" s="59"/>
      <c r="G331" s="16">
        <v>1</v>
      </c>
    </row>
    <row r="332" spans="1:62" x14ac:dyDescent="0.2">
      <c r="A332" s="4" t="s">
        <v>120</v>
      </c>
      <c r="B332" s="4" t="s">
        <v>271</v>
      </c>
      <c r="C332" s="60" t="s">
        <v>598</v>
      </c>
      <c r="D332" s="61"/>
      <c r="E332" s="61"/>
      <c r="F332" s="4" t="s">
        <v>671</v>
      </c>
      <c r="G332" s="15">
        <v>1</v>
      </c>
      <c r="H332" s="15">
        <v>0</v>
      </c>
      <c r="I332" s="15">
        <f>G332*AO332</f>
        <v>0</v>
      </c>
      <c r="J332" s="15">
        <f>G332*AP332</f>
        <v>0</v>
      </c>
      <c r="K332" s="15">
        <f>G332*H332</f>
        <v>0</v>
      </c>
      <c r="L332" s="27" t="s">
        <v>690</v>
      </c>
      <c r="Z332" s="32">
        <f>IF(AQ332="5",BJ332,0)</f>
        <v>0</v>
      </c>
      <c r="AB332" s="32">
        <f>IF(AQ332="1",BH332,0)</f>
        <v>0</v>
      </c>
      <c r="AC332" s="32">
        <f>IF(AQ332="1",BI332,0)</f>
        <v>0</v>
      </c>
      <c r="AD332" s="32">
        <f>IF(AQ332="7",BH332,0)</f>
        <v>0</v>
      </c>
      <c r="AE332" s="32">
        <f>IF(AQ332="7",BI332,0)</f>
        <v>0</v>
      </c>
      <c r="AF332" s="32">
        <f>IF(AQ332="2",BH332,0)</f>
        <v>0</v>
      </c>
      <c r="AG332" s="32">
        <f>IF(AQ332="2",BI332,0)</f>
        <v>0</v>
      </c>
      <c r="AH332" s="32">
        <f>IF(AQ332="0",BJ332,0)</f>
        <v>0</v>
      </c>
      <c r="AI332" s="28"/>
      <c r="AJ332" s="15">
        <f>IF(AN332=0,K332,0)</f>
        <v>0</v>
      </c>
      <c r="AK332" s="15">
        <f>IF(AN332=15,K332,0)</f>
        <v>0</v>
      </c>
      <c r="AL332" s="15">
        <f>IF(AN332=21,K332,0)</f>
        <v>0</v>
      </c>
      <c r="AN332" s="32">
        <v>21</v>
      </c>
      <c r="AO332" s="32">
        <f>H332*0</f>
        <v>0</v>
      </c>
      <c r="AP332" s="32">
        <f>H332*(1-0)</f>
        <v>0</v>
      </c>
      <c r="AQ332" s="27" t="s">
        <v>7</v>
      </c>
      <c r="AV332" s="32">
        <f>AW332+AX332</f>
        <v>0</v>
      </c>
      <c r="AW332" s="32">
        <f>G332*AO332</f>
        <v>0</v>
      </c>
      <c r="AX332" s="32">
        <f>G332*AP332</f>
        <v>0</v>
      </c>
      <c r="AY332" s="33" t="s">
        <v>726</v>
      </c>
      <c r="AZ332" s="33" t="s">
        <v>738</v>
      </c>
      <c r="BA332" s="28" t="s">
        <v>739</v>
      </c>
      <c r="BC332" s="32">
        <f>AW332+AX332</f>
        <v>0</v>
      </c>
      <c r="BD332" s="32">
        <f>H332/(100-BE332)*100</f>
        <v>0</v>
      </c>
      <c r="BE332" s="32">
        <v>0</v>
      </c>
      <c r="BF332" s="32">
        <f>330</f>
        <v>330</v>
      </c>
      <c r="BH332" s="15">
        <f>G332*AO332</f>
        <v>0</v>
      </c>
      <c r="BI332" s="15">
        <f>G332*AP332</f>
        <v>0</v>
      </c>
      <c r="BJ332" s="15">
        <f>G332*H332</f>
        <v>0</v>
      </c>
    </row>
    <row r="333" spans="1:62" x14ac:dyDescent="0.2">
      <c r="C333" s="58" t="s">
        <v>597</v>
      </c>
      <c r="D333" s="59"/>
      <c r="E333" s="59"/>
      <c r="G333" s="16">
        <v>1</v>
      </c>
    </row>
    <row r="334" spans="1:62" x14ac:dyDescent="0.2">
      <c r="A334" s="4" t="s">
        <v>121</v>
      </c>
      <c r="B334" s="4" t="s">
        <v>272</v>
      </c>
      <c r="C334" s="60" t="s">
        <v>599</v>
      </c>
      <c r="D334" s="61"/>
      <c r="E334" s="61"/>
      <c r="F334" s="4" t="s">
        <v>667</v>
      </c>
      <c r="G334" s="15">
        <v>8.6859999999999999</v>
      </c>
      <c r="H334" s="15">
        <v>0</v>
      </c>
      <c r="I334" s="15">
        <f>G334*AO334</f>
        <v>0</v>
      </c>
      <c r="J334" s="15">
        <f>G334*AP334</f>
        <v>0</v>
      </c>
      <c r="K334" s="15">
        <f>G334*H334</f>
        <v>0</v>
      </c>
      <c r="L334" s="27" t="s">
        <v>690</v>
      </c>
      <c r="Z334" s="32">
        <f>IF(AQ334="5",BJ334,0)</f>
        <v>0</v>
      </c>
      <c r="AB334" s="32">
        <f>IF(AQ334="1",BH334,0)</f>
        <v>0</v>
      </c>
      <c r="AC334" s="32">
        <f>IF(AQ334="1",BI334,0)</f>
        <v>0</v>
      </c>
      <c r="AD334" s="32">
        <f>IF(AQ334="7",BH334,0)</f>
        <v>0</v>
      </c>
      <c r="AE334" s="32">
        <f>IF(AQ334="7",BI334,0)</f>
        <v>0</v>
      </c>
      <c r="AF334" s="32">
        <f>IF(AQ334="2",BH334,0)</f>
        <v>0</v>
      </c>
      <c r="AG334" s="32">
        <f>IF(AQ334="2",BI334,0)</f>
        <v>0</v>
      </c>
      <c r="AH334" s="32">
        <f>IF(AQ334="0",BJ334,0)</f>
        <v>0</v>
      </c>
      <c r="AI334" s="28"/>
      <c r="AJ334" s="15">
        <f>IF(AN334=0,K334,0)</f>
        <v>0</v>
      </c>
      <c r="AK334" s="15">
        <f>IF(AN334=15,K334,0)</f>
        <v>0</v>
      </c>
      <c r="AL334" s="15">
        <f>IF(AN334=21,K334,0)</f>
        <v>0</v>
      </c>
      <c r="AN334" s="32">
        <v>21</v>
      </c>
      <c r="AO334" s="32">
        <f>H334*0.0809860468133062</f>
        <v>0</v>
      </c>
      <c r="AP334" s="32">
        <f>H334*(1-0.0809860468133062)</f>
        <v>0</v>
      </c>
      <c r="AQ334" s="27" t="s">
        <v>7</v>
      </c>
      <c r="AV334" s="32">
        <f>AW334+AX334</f>
        <v>0</v>
      </c>
      <c r="AW334" s="32">
        <f>G334*AO334</f>
        <v>0</v>
      </c>
      <c r="AX334" s="32">
        <f>G334*AP334</f>
        <v>0</v>
      </c>
      <c r="AY334" s="33" t="s">
        <v>726</v>
      </c>
      <c r="AZ334" s="33" t="s">
        <v>738</v>
      </c>
      <c r="BA334" s="28" t="s">
        <v>739</v>
      </c>
      <c r="BC334" s="32">
        <f>AW334+AX334</f>
        <v>0</v>
      </c>
      <c r="BD334" s="32">
        <f>H334/(100-BE334)*100</f>
        <v>0</v>
      </c>
      <c r="BE334" s="32">
        <v>0</v>
      </c>
      <c r="BF334" s="32">
        <f>332</f>
        <v>332</v>
      </c>
      <c r="BH334" s="15">
        <f>G334*AO334</f>
        <v>0</v>
      </c>
      <c r="BI334" s="15">
        <f>G334*AP334</f>
        <v>0</v>
      </c>
      <c r="BJ334" s="15">
        <f>G334*H334</f>
        <v>0</v>
      </c>
    </row>
    <row r="335" spans="1:62" x14ac:dyDescent="0.2">
      <c r="C335" s="58" t="s">
        <v>600</v>
      </c>
      <c r="D335" s="59"/>
      <c r="E335" s="59"/>
      <c r="G335" s="16">
        <v>3.4860000000000002</v>
      </c>
    </row>
    <row r="336" spans="1:62" x14ac:dyDescent="0.2">
      <c r="C336" s="58" t="s">
        <v>601</v>
      </c>
      <c r="D336" s="59"/>
      <c r="E336" s="59"/>
      <c r="G336" s="16">
        <v>5.2</v>
      </c>
    </row>
    <row r="337" spans="1:62" x14ac:dyDescent="0.2">
      <c r="A337" s="4" t="s">
        <v>122</v>
      </c>
      <c r="B337" s="4" t="s">
        <v>273</v>
      </c>
      <c r="C337" s="60" t="s">
        <v>602</v>
      </c>
      <c r="D337" s="61"/>
      <c r="E337" s="61"/>
      <c r="F337" s="4" t="s">
        <v>671</v>
      </c>
      <c r="G337" s="15">
        <v>1</v>
      </c>
      <c r="H337" s="15">
        <v>0</v>
      </c>
      <c r="I337" s="15">
        <f>G337*AO337</f>
        <v>0</v>
      </c>
      <c r="J337" s="15">
        <f>G337*AP337</f>
        <v>0</v>
      </c>
      <c r="K337" s="15">
        <f>G337*H337</f>
        <v>0</v>
      </c>
      <c r="L337" s="27" t="s">
        <v>690</v>
      </c>
      <c r="Z337" s="32">
        <f>IF(AQ337="5",BJ337,0)</f>
        <v>0</v>
      </c>
      <c r="AB337" s="32">
        <f>IF(AQ337="1",BH337,0)</f>
        <v>0</v>
      </c>
      <c r="AC337" s="32">
        <f>IF(AQ337="1",BI337,0)</f>
        <v>0</v>
      </c>
      <c r="AD337" s="32">
        <f>IF(AQ337="7",BH337,0)</f>
        <v>0</v>
      </c>
      <c r="AE337" s="32">
        <f>IF(AQ337="7",BI337,0)</f>
        <v>0</v>
      </c>
      <c r="AF337" s="32">
        <f>IF(AQ337="2",BH337,0)</f>
        <v>0</v>
      </c>
      <c r="AG337" s="32">
        <f>IF(AQ337="2",BI337,0)</f>
        <v>0</v>
      </c>
      <c r="AH337" s="32">
        <f>IF(AQ337="0",BJ337,0)</f>
        <v>0</v>
      </c>
      <c r="AI337" s="28"/>
      <c r="AJ337" s="15">
        <f>IF(AN337=0,K337,0)</f>
        <v>0</v>
      </c>
      <c r="AK337" s="15">
        <f>IF(AN337=15,K337,0)</f>
        <v>0</v>
      </c>
      <c r="AL337" s="15">
        <f>IF(AN337=21,K337,0)</f>
        <v>0</v>
      </c>
      <c r="AN337" s="32">
        <v>21</v>
      </c>
      <c r="AO337" s="32">
        <f>H337*0</f>
        <v>0</v>
      </c>
      <c r="AP337" s="32">
        <f>H337*(1-0)</f>
        <v>0</v>
      </c>
      <c r="AQ337" s="27" t="s">
        <v>7</v>
      </c>
      <c r="AV337" s="32">
        <f>AW337+AX337</f>
        <v>0</v>
      </c>
      <c r="AW337" s="32">
        <f>G337*AO337</f>
        <v>0</v>
      </c>
      <c r="AX337" s="32">
        <f>G337*AP337</f>
        <v>0</v>
      </c>
      <c r="AY337" s="33" t="s">
        <v>726</v>
      </c>
      <c r="AZ337" s="33" t="s">
        <v>738</v>
      </c>
      <c r="BA337" s="28" t="s">
        <v>739</v>
      </c>
      <c r="BC337" s="32">
        <f>AW337+AX337</f>
        <v>0</v>
      </c>
      <c r="BD337" s="32">
        <f>H337/(100-BE337)*100</f>
        <v>0</v>
      </c>
      <c r="BE337" s="32">
        <v>0</v>
      </c>
      <c r="BF337" s="32">
        <f>335</f>
        <v>335</v>
      </c>
      <c r="BH337" s="15">
        <f>G337*AO337</f>
        <v>0</v>
      </c>
      <c r="BI337" s="15">
        <f>G337*AP337</f>
        <v>0</v>
      </c>
      <c r="BJ337" s="15">
        <f>G337*H337</f>
        <v>0</v>
      </c>
    </row>
    <row r="338" spans="1:62" x14ac:dyDescent="0.2">
      <c r="C338" s="58" t="s">
        <v>603</v>
      </c>
      <c r="D338" s="59"/>
      <c r="E338" s="59"/>
      <c r="G338" s="16">
        <v>1</v>
      </c>
    </row>
    <row r="339" spans="1:62" x14ac:dyDescent="0.2">
      <c r="A339" s="4" t="s">
        <v>123</v>
      </c>
      <c r="B339" s="4" t="s">
        <v>274</v>
      </c>
      <c r="C339" s="60" t="s">
        <v>604</v>
      </c>
      <c r="D339" s="61"/>
      <c r="E339" s="61"/>
      <c r="F339" s="4" t="s">
        <v>671</v>
      </c>
      <c r="G339" s="15">
        <v>2</v>
      </c>
      <c r="H339" s="15">
        <v>0</v>
      </c>
      <c r="I339" s="15">
        <f>G339*AO339</f>
        <v>0</v>
      </c>
      <c r="J339" s="15">
        <f>G339*AP339</f>
        <v>0</v>
      </c>
      <c r="K339" s="15">
        <f>G339*H339</f>
        <v>0</v>
      </c>
      <c r="L339" s="27" t="s">
        <v>690</v>
      </c>
      <c r="Z339" s="32">
        <f>IF(AQ339="5",BJ339,0)</f>
        <v>0</v>
      </c>
      <c r="AB339" s="32">
        <f>IF(AQ339="1",BH339,0)</f>
        <v>0</v>
      </c>
      <c r="AC339" s="32">
        <f>IF(AQ339="1",BI339,0)</f>
        <v>0</v>
      </c>
      <c r="AD339" s="32">
        <f>IF(AQ339="7",BH339,0)</f>
        <v>0</v>
      </c>
      <c r="AE339" s="32">
        <f>IF(AQ339="7",BI339,0)</f>
        <v>0</v>
      </c>
      <c r="AF339" s="32">
        <f>IF(AQ339="2",BH339,0)</f>
        <v>0</v>
      </c>
      <c r="AG339" s="32">
        <f>IF(AQ339="2",BI339,0)</f>
        <v>0</v>
      </c>
      <c r="AH339" s="32">
        <f>IF(AQ339="0",BJ339,0)</f>
        <v>0</v>
      </c>
      <c r="AI339" s="28"/>
      <c r="AJ339" s="15">
        <f>IF(AN339=0,K339,0)</f>
        <v>0</v>
      </c>
      <c r="AK339" s="15">
        <f>IF(AN339=15,K339,0)</f>
        <v>0</v>
      </c>
      <c r="AL339" s="15">
        <f>IF(AN339=21,K339,0)</f>
        <v>0</v>
      </c>
      <c r="AN339" s="32">
        <v>21</v>
      </c>
      <c r="AO339" s="32">
        <f>H339*0</f>
        <v>0</v>
      </c>
      <c r="AP339" s="32">
        <f>H339*(1-0)</f>
        <v>0</v>
      </c>
      <c r="AQ339" s="27" t="s">
        <v>7</v>
      </c>
      <c r="AV339" s="32">
        <f>AW339+AX339</f>
        <v>0</v>
      </c>
      <c r="AW339" s="32">
        <f>G339*AO339</f>
        <v>0</v>
      </c>
      <c r="AX339" s="32">
        <f>G339*AP339</f>
        <v>0</v>
      </c>
      <c r="AY339" s="33" t="s">
        <v>726</v>
      </c>
      <c r="AZ339" s="33" t="s">
        <v>738</v>
      </c>
      <c r="BA339" s="28" t="s">
        <v>739</v>
      </c>
      <c r="BC339" s="32">
        <f>AW339+AX339</f>
        <v>0</v>
      </c>
      <c r="BD339" s="32">
        <f>H339/(100-BE339)*100</f>
        <v>0</v>
      </c>
      <c r="BE339" s="32">
        <v>0</v>
      </c>
      <c r="BF339" s="32">
        <f>337</f>
        <v>337</v>
      </c>
      <c r="BH339" s="15">
        <f>G339*AO339</f>
        <v>0</v>
      </c>
      <c r="BI339" s="15">
        <f>G339*AP339</f>
        <v>0</v>
      </c>
      <c r="BJ339" s="15">
        <f>G339*H339</f>
        <v>0</v>
      </c>
    </row>
    <row r="340" spans="1:62" x14ac:dyDescent="0.2">
      <c r="C340" s="58" t="s">
        <v>605</v>
      </c>
      <c r="D340" s="59"/>
      <c r="E340" s="59"/>
      <c r="G340" s="16">
        <v>2</v>
      </c>
    </row>
    <row r="341" spans="1:62" x14ac:dyDescent="0.2">
      <c r="A341" s="4" t="s">
        <v>124</v>
      </c>
      <c r="B341" s="4" t="s">
        <v>275</v>
      </c>
      <c r="C341" s="60" t="s">
        <v>606</v>
      </c>
      <c r="D341" s="61"/>
      <c r="E341" s="61"/>
      <c r="F341" s="4" t="s">
        <v>671</v>
      </c>
      <c r="G341" s="15">
        <v>9</v>
      </c>
      <c r="H341" s="15">
        <v>0</v>
      </c>
      <c r="I341" s="15">
        <f>G341*AO341</f>
        <v>0</v>
      </c>
      <c r="J341" s="15">
        <f>G341*AP341</f>
        <v>0</v>
      </c>
      <c r="K341" s="15">
        <f>G341*H341</f>
        <v>0</v>
      </c>
      <c r="L341" s="27"/>
      <c r="Z341" s="32">
        <f>IF(AQ341="5",BJ341,0)</f>
        <v>0</v>
      </c>
      <c r="AB341" s="32">
        <f>IF(AQ341="1",BH341,0)</f>
        <v>0</v>
      </c>
      <c r="AC341" s="32">
        <f>IF(AQ341="1",BI341,0)</f>
        <v>0</v>
      </c>
      <c r="AD341" s="32">
        <f>IF(AQ341="7",BH341,0)</f>
        <v>0</v>
      </c>
      <c r="AE341" s="32">
        <f>IF(AQ341="7",BI341,0)</f>
        <v>0</v>
      </c>
      <c r="AF341" s="32">
        <f>IF(AQ341="2",BH341,0)</f>
        <v>0</v>
      </c>
      <c r="AG341" s="32">
        <f>IF(AQ341="2",BI341,0)</f>
        <v>0</v>
      </c>
      <c r="AH341" s="32">
        <f>IF(AQ341="0",BJ341,0)</f>
        <v>0</v>
      </c>
      <c r="AI341" s="28"/>
      <c r="AJ341" s="15">
        <f>IF(AN341=0,K341,0)</f>
        <v>0</v>
      </c>
      <c r="AK341" s="15">
        <f>IF(AN341=15,K341,0)</f>
        <v>0</v>
      </c>
      <c r="AL341" s="15">
        <f>IF(AN341=21,K341,0)</f>
        <v>0</v>
      </c>
      <c r="AN341" s="32">
        <v>21</v>
      </c>
      <c r="AO341" s="32">
        <f>H341*0</f>
        <v>0</v>
      </c>
      <c r="AP341" s="32">
        <f>H341*(1-0)</f>
        <v>0</v>
      </c>
      <c r="AQ341" s="27" t="s">
        <v>7</v>
      </c>
      <c r="AV341" s="32">
        <f>AW341+AX341</f>
        <v>0</v>
      </c>
      <c r="AW341" s="32">
        <f>G341*AO341</f>
        <v>0</v>
      </c>
      <c r="AX341" s="32">
        <f>G341*AP341</f>
        <v>0</v>
      </c>
      <c r="AY341" s="33" t="s">
        <v>726</v>
      </c>
      <c r="AZ341" s="33" t="s">
        <v>738</v>
      </c>
      <c r="BA341" s="28" t="s">
        <v>739</v>
      </c>
      <c r="BC341" s="32">
        <f>AW341+AX341</f>
        <v>0</v>
      </c>
      <c r="BD341" s="32">
        <f>H341/(100-BE341)*100</f>
        <v>0</v>
      </c>
      <c r="BE341" s="32">
        <v>0</v>
      </c>
      <c r="BF341" s="32">
        <f>339</f>
        <v>339</v>
      </c>
      <c r="BH341" s="15">
        <f>G341*AO341</f>
        <v>0</v>
      </c>
      <c r="BI341" s="15">
        <f>G341*AP341</f>
        <v>0</v>
      </c>
      <c r="BJ341" s="15">
        <f>G341*H341</f>
        <v>0</v>
      </c>
    </row>
    <row r="342" spans="1:62" x14ac:dyDescent="0.2">
      <c r="C342" s="58" t="s">
        <v>607</v>
      </c>
      <c r="D342" s="59"/>
      <c r="E342" s="59"/>
      <c r="G342" s="16">
        <v>9</v>
      </c>
    </row>
    <row r="343" spans="1:62" x14ac:dyDescent="0.2">
      <c r="A343" s="4" t="s">
        <v>125</v>
      </c>
      <c r="B343" s="4" t="s">
        <v>276</v>
      </c>
      <c r="C343" s="60" t="s">
        <v>608</v>
      </c>
      <c r="D343" s="61"/>
      <c r="E343" s="61"/>
      <c r="F343" s="4" t="s">
        <v>670</v>
      </c>
      <c r="G343" s="15">
        <v>110.4</v>
      </c>
      <c r="H343" s="15">
        <v>0</v>
      </c>
      <c r="I343" s="15">
        <f>G343*AO343</f>
        <v>0</v>
      </c>
      <c r="J343" s="15">
        <f>G343*AP343</f>
        <v>0</v>
      </c>
      <c r="K343" s="15">
        <f>G343*H343</f>
        <v>0</v>
      </c>
      <c r="L343" s="27" t="s">
        <v>690</v>
      </c>
      <c r="Z343" s="32">
        <f>IF(AQ343="5",BJ343,0)</f>
        <v>0</v>
      </c>
      <c r="AB343" s="32">
        <f>IF(AQ343="1",BH343,0)</f>
        <v>0</v>
      </c>
      <c r="AC343" s="32">
        <f>IF(AQ343="1",BI343,0)</f>
        <v>0</v>
      </c>
      <c r="AD343" s="32">
        <f>IF(AQ343="7",BH343,0)</f>
        <v>0</v>
      </c>
      <c r="AE343" s="32">
        <f>IF(AQ343="7",BI343,0)</f>
        <v>0</v>
      </c>
      <c r="AF343" s="32">
        <f>IF(AQ343="2",BH343,0)</f>
        <v>0</v>
      </c>
      <c r="AG343" s="32">
        <f>IF(AQ343="2",BI343,0)</f>
        <v>0</v>
      </c>
      <c r="AH343" s="32">
        <f>IF(AQ343="0",BJ343,0)</f>
        <v>0</v>
      </c>
      <c r="AI343" s="28"/>
      <c r="AJ343" s="15">
        <f>IF(AN343=0,K343,0)</f>
        <v>0</v>
      </c>
      <c r="AK343" s="15">
        <f>IF(AN343=15,K343,0)</f>
        <v>0</v>
      </c>
      <c r="AL343" s="15">
        <f>IF(AN343=21,K343,0)</f>
        <v>0</v>
      </c>
      <c r="AN343" s="32">
        <v>21</v>
      </c>
      <c r="AO343" s="32">
        <f>H343*0</f>
        <v>0</v>
      </c>
      <c r="AP343" s="32">
        <f>H343*(1-0)</f>
        <v>0</v>
      </c>
      <c r="AQ343" s="27" t="s">
        <v>7</v>
      </c>
      <c r="AV343" s="32">
        <f>AW343+AX343</f>
        <v>0</v>
      </c>
      <c r="AW343" s="32">
        <f>G343*AO343</f>
        <v>0</v>
      </c>
      <c r="AX343" s="32">
        <f>G343*AP343</f>
        <v>0</v>
      </c>
      <c r="AY343" s="33" t="s">
        <v>726</v>
      </c>
      <c r="AZ343" s="33" t="s">
        <v>738</v>
      </c>
      <c r="BA343" s="28" t="s">
        <v>739</v>
      </c>
      <c r="BC343" s="32">
        <f>AW343+AX343</f>
        <v>0</v>
      </c>
      <c r="BD343" s="32">
        <f>H343/(100-BE343)*100</f>
        <v>0</v>
      </c>
      <c r="BE343" s="32">
        <v>0</v>
      </c>
      <c r="BF343" s="32">
        <f>341</f>
        <v>341</v>
      </c>
      <c r="BH343" s="15">
        <f>G343*AO343</f>
        <v>0</v>
      </c>
      <c r="BI343" s="15">
        <f>G343*AP343</f>
        <v>0</v>
      </c>
      <c r="BJ343" s="15">
        <f>G343*H343</f>
        <v>0</v>
      </c>
    </row>
    <row r="344" spans="1:62" x14ac:dyDescent="0.2">
      <c r="C344" s="58" t="s">
        <v>609</v>
      </c>
      <c r="D344" s="59"/>
      <c r="E344" s="59"/>
      <c r="G344" s="16">
        <v>110.4</v>
      </c>
    </row>
    <row r="345" spans="1:62" x14ac:dyDescent="0.2">
      <c r="A345" s="5"/>
      <c r="B345" s="13" t="s">
        <v>103</v>
      </c>
      <c r="C345" s="66" t="s">
        <v>610</v>
      </c>
      <c r="D345" s="67"/>
      <c r="E345" s="67"/>
      <c r="F345" s="5" t="s">
        <v>6</v>
      </c>
      <c r="G345" s="5" t="s">
        <v>6</v>
      </c>
      <c r="H345" s="5" t="s">
        <v>6</v>
      </c>
      <c r="I345" s="35">
        <f>SUM(I346:I371)</f>
        <v>0</v>
      </c>
      <c r="J345" s="35">
        <f>SUM(J346:J371)</f>
        <v>0</v>
      </c>
      <c r="K345" s="35">
        <f>SUM(K346:K371)</f>
        <v>0</v>
      </c>
      <c r="L345" s="28"/>
      <c r="AI345" s="28"/>
      <c r="AS345" s="35">
        <f>SUM(AJ346:AJ371)</f>
        <v>0</v>
      </c>
      <c r="AT345" s="35">
        <f>SUM(AK346:AK371)</f>
        <v>0</v>
      </c>
      <c r="AU345" s="35">
        <f>SUM(AL346:AL371)</f>
        <v>0</v>
      </c>
    </row>
    <row r="346" spans="1:62" x14ac:dyDescent="0.2">
      <c r="A346" s="4" t="s">
        <v>126</v>
      </c>
      <c r="B346" s="4" t="s">
        <v>277</v>
      </c>
      <c r="C346" s="60" t="s">
        <v>611</v>
      </c>
      <c r="D346" s="61"/>
      <c r="E346" s="61"/>
      <c r="F346" s="4" t="s">
        <v>667</v>
      </c>
      <c r="G346" s="15">
        <v>32.700000000000003</v>
      </c>
      <c r="H346" s="15">
        <v>0</v>
      </c>
      <c r="I346" s="15">
        <f>G346*AO346</f>
        <v>0</v>
      </c>
      <c r="J346" s="15">
        <f>G346*AP346</f>
        <v>0</v>
      </c>
      <c r="K346" s="15">
        <f>G346*H346</f>
        <v>0</v>
      </c>
      <c r="L346" s="27" t="s">
        <v>690</v>
      </c>
      <c r="Z346" s="32">
        <f>IF(AQ346="5",BJ346,0)</f>
        <v>0</v>
      </c>
      <c r="AB346" s="32">
        <f>IF(AQ346="1",BH346,0)</f>
        <v>0</v>
      </c>
      <c r="AC346" s="32">
        <f>IF(AQ346="1",BI346,0)</f>
        <v>0</v>
      </c>
      <c r="AD346" s="32">
        <f>IF(AQ346="7",BH346,0)</f>
        <v>0</v>
      </c>
      <c r="AE346" s="32">
        <f>IF(AQ346="7",BI346,0)</f>
        <v>0</v>
      </c>
      <c r="AF346" s="32">
        <f>IF(AQ346="2",BH346,0)</f>
        <v>0</v>
      </c>
      <c r="AG346" s="32">
        <f>IF(AQ346="2",BI346,0)</f>
        <v>0</v>
      </c>
      <c r="AH346" s="32">
        <f>IF(AQ346="0",BJ346,0)</f>
        <v>0</v>
      </c>
      <c r="AI346" s="28"/>
      <c r="AJ346" s="15">
        <f>IF(AN346=0,K346,0)</f>
        <v>0</v>
      </c>
      <c r="AK346" s="15">
        <f>IF(AN346=15,K346,0)</f>
        <v>0</v>
      </c>
      <c r="AL346" s="15">
        <f>IF(AN346=21,K346,0)</f>
        <v>0</v>
      </c>
      <c r="AN346" s="32">
        <v>21</v>
      </c>
      <c r="AO346" s="32">
        <f>H346*0</f>
        <v>0</v>
      </c>
      <c r="AP346" s="32">
        <f>H346*(1-0)</f>
        <v>0</v>
      </c>
      <c r="AQ346" s="27" t="s">
        <v>7</v>
      </c>
      <c r="AV346" s="32">
        <f>AW346+AX346</f>
        <v>0</v>
      </c>
      <c r="AW346" s="32">
        <f>G346*AO346</f>
        <v>0</v>
      </c>
      <c r="AX346" s="32">
        <f>G346*AP346</f>
        <v>0</v>
      </c>
      <c r="AY346" s="33" t="s">
        <v>727</v>
      </c>
      <c r="AZ346" s="33" t="s">
        <v>738</v>
      </c>
      <c r="BA346" s="28" t="s">
        <v>739</v>
      </c>
      <c r="BC346" s="32">
        <f>AW346+AX346</f>
        <v>0</v>
      </c>
      <c r="BD346" s="32">
        <f>H346/(100-BE346)*100</f>
        <v>0</v>
      </c>
      <c r="BE346" s="32">
        <v>0</v>
      </c>
      <c r="BF346" s="32">
        <f>344</f>
        <v>344</v>
      </c>
      <c r="BH346" s="15">
        <f>G346*AO346</f>
        <v>0</v>
      </c>
      <c r="BI346" s="15">
        <f>G346*AP346</f>
        <v>0</v>
      </c>
      <c r="BJ346" s="15">
        <f>G346*H346</f>
        <v>0</v>
      </c>
    </row>
    <row r="347" spans="1:62" x14ac:dyDescent="0.2">
      <c r="C347" s="58" t="s">
        <v>612</v>
      </c>
      <c r="D347" s="59"/>
      <c r="E347" s="59"/>
      <c r="G347" s="16">
        <v>32.700000000000003</v>
      </c>
    </row>
    <row r="348" spans="1:62" x14ac:dyDescent="0.2">
      <c r="A348" s="4" t="s">
        <v>127</v>
      </c>
      <c r="B348" s="4" t="s">
        <v>278</v>
      </c>
      <c r="C348" s="60" t="s">
        <v>613</v>
      </c>
      <c r="D348" s="61"/>
      <c r="E348" s="61"/>
      <c r="F348" s="4" t="s">
        <v>671</v>
      </c>
      <c r="G348" s="15">
        <v>4</v>
      </c>
      <c r="H348" s="15">
        <v>0</v>
      </c>
      <c r="I348" s="15">
        <f>G348*AO348</f>
        <v>0</v>
      </c>
      <c r="J348" s="15">
        <f>G348*AP348</f>
        <v>0</v>
      </c>
      <c r="K348" s="15">
        <f>G348*H348</f>
        <v>0</v>
      </c>
      <c r="L348" s="27" t="s">
        <v>690</v>
      </c>
      <c r="Z348" s="32">
        <f>IF(AQ348="5",BJ348,0)</f>
        <v>0</v>
      </c>
      <c r="AB348" s="32">
        <f>IF(AQ348="1",BH348,0)</f>
        <v>0</v>
      </c>
      <c r="AC348" s="32">
        <f>IF(AQ348="1",BI348,0)</f>
        <v>0</v>
      </c>
      <c r="AD348" s="32">
        <f>IF(AQ348="7",BH348,0)</f>
        <v>0</v>
      </c>
      <c r="AE348" s="32">
        <f>IF(AQ348="7",BI348,0)</f>
        <v>0</v>
      </c>
      <c r="AF348" s="32">
        <f>IF(AQ348="2",BH348,0)</f>
        <v>0</v>
      </c>
      <c r="AG348" s="32">
        <f>IF(AQ348="2",BI348,0)</f>
        <v>0</v>
      </c>
      <c r="AH348" s="32">
        <f>IF(AQ348="0",BJ348,0)</f>
        <v>0</v>
      </c>
      <c r="AI348" s="28"/>
      <c r="AJ348" s="15">
        <f>IF(AN348=0,K348,0)</f>
        <v>0</v>
      </c>
      <c r="AK348" s="15">
        <f>IF(AN348=15,K348,0)</f>
        <v>0</v>
      </c>
      <c r="AL348" s="15">
        <f>IF(AN348=21,K348,0)</f>
        <v>0</v>
      </c>
      <c r="AN348" s="32">
        <v>21</v>
      </c>
      <c r="AO348" s="32">
        <f>H348*0.0576779026217228</f>
        <v>0</v>
      </c>
      <c r="AP348" s="32">
        <f>H348*(1-0.0576779026217228)</f>
        <v>0</v>
      </c>
      <c r="AQ348" s="27" t="s">
        <v>7</v>
      </c>
      <c r="AV348" s="32">
        <f>AW348+AX348</f>
        <v>0</v>
      </c>
      <c r="AW348" s="32">
        <f>G348*AO348</f>
        <v>0</v>
      </c>
      <c r="AX348" s="32">
        <f>G348*AP348</f>
        <v>0</v>
      </c>
      <c r="AY348" s="33" t="s">
        <v>727</v>
      </c>
      <c r="AZ348" s="33" t="s">
        <v>738</v>
      </c>
      <c r="BA348" s="28" t="s">
        <v>739</v>
      </c>
      <c r="BC348" s="32">
        <f>AW348+AX348</f>
        <v>0</v>
      </c>
      <c r="BD348" s="32">
        <f>H348/(100-BE348)*100</f>
        <v>0</v>
      </c>
      <c r="BE348" s="32">
        <v>0</v>
      </c>
      <c r="BF348" s="32">
        <f>346</f>
        <v>346</v>
      </c>
      <c r="BH348" s="15">
        <f>G348*AO348</f>
        <v>0</v>
      </c>
      <c r="BI348" s="15">
        <f>G348*AP348</f>
        <v>0</v>
      </c>
      <c r="BJ348" s="15">
        <f>G348*H348</f>
        <v>0</v>
      </c>
    </row>
    <row r="349" spans="1:62" x14ac:dyDescent="0.2">
      <c r="C349" s="58" t="s">
        <v>614</v>
      </c>
      <c r="D349" s="59"/>
      <c r="E349" s="59"/>
      <c r="G349" s="16">
        <v>2</v>
      </c>
    </row>
    <row r="350" spans="1:62" x14ac:dyDescent="0.2">
      <c r="C350" s="58" t="s">
        <v>615</v>
      </c>
      <c r="D350" s="59"/>
      <c r="E350" s="59"/>
      <c r="G350" s="16">
        <v>2</v>
      </c>
    </row>
    <row r="351" spans="1:62" x14ac:dyDescent="0.2">
      <c r="A351" s="4" t="s">
        <v>128</v>
      </c>
      <c r="B351" s="4" t="s">
        <v>279</v>
      </c>
      <c r="C351" s="60" t="s">
        <v>616</v>
      </c>
      <c r="D351" s="61"/>
      <c r="E351" s="61"/>
      <c r="F351" s="4" t="s">
        <v>671</v>
      </c>
      <c r="G351" s="15">
        <v>12</v>
      </c>
      <c r="H351" s="15">
        <v>0</v>
      </c>
      <c r="I351" s="15">
        <f>G351*AO351</f>
        <v>0</v>
      </c>
      <c r="J351" s="15">
        <f>G351*AP351</f>
        <v>0</v>
      </c>
      <c r="K351" s="15">
        <f>G351*H351</f>
        <v>0</v>
      </c>
      <c r="L351" s="27" t="s">
        <v>690</v>
      </c>
      <c r="Z351" s="32">
        <f>IF(AQ351="5",BJ351,0)</f>
        <v>0</v>
      </c>
      <c r="AB351" s="32">
        <f>IF(AQ351="1",BH351,0)</f>
        <v>0</v>
      </c>
      <c r="AC351" s="32">
        <f>IF(AQ351="1",BI351,0)</f>
        <v>0</v>
      </c>
      <c r="AD351" s="32">
        <f>IF(AQ351="7",BH351,0)</f>
        <v>0</v>
      </c>
      <c r="AE351" s="32">
        <f>IF(AQ351="7",BI351,0)</f>
        <v>0</v>
      </c>
      <c r="AF351" s="32">
        <f>IF(AQ351="2",BH351,0)</f>
        <v>0</v>
      </c>
      <c r="AG351" s="32">
        <f>IF(AQ351="2",BI351,0)</f>
        <v>0</v>
      </c>
      <c r="AH351" s="32">
        <f>IF(AQ351="0",BJ351,0)</f>
        <v>0</v>
      </c>
      <c r="AI351" s="28"/>
      <c r="AJ351" s="15">
        <f>IF(AN351=0,K351,0)</f>
        <v>0</v>
      </c>
      <c r="AK351" s="15">
        <f>IF(AN351=15,K351,0)</f>
        <v>0</v>
      </c>
      <c r="AL351" s="15">
        <f>IF(AN351=21,K351,0)</f>
        <v>0</v>
      </c>
      <c r="AN351" s="32">
        <v>21</v>
      </c>
      <c r="AO351" s="32">
        <f>H351*0.0974683544303798</f>
        <v>0</v>
      </c>
      <c r="AP351" s="32">
        <f>H351*(1-0.0974683544303798)</f>
        <v>0</v>
      </c>
      <c r="AQ351" s="27" t="s">
        <v>7</v>
      </c>
      <c r="AV351" s="32">
        <f>AW351+AX351</f>
        <v>0</v>
      </c>
      <c r="AW351" s="32">
        <f>G351*AO351</f>
        <v>0</v>
      </c>
      <c r="AX351" s="32">
        <f>G351*AP351</f>
        <v>0</v>
      </c>
      <c r="AY351" s="33" t="s">
        <v>727</v>
      </c>
      <c r="AZ351" s="33" t="s">
        <v>738</v>
      </c>
      <c r="BA351" s="28" t="s">
        <v>739</v>
      </c>
      <c r="BC351" s="32">
        <f>AW351+AX351</f>
        <v>0</v>
      </c>
      <c r="BD351" s="32">
        <f>H351/(100-BE351)*100</f>
        <v>0</v>
      </c>
      <c r="BE351" s="32">
        <v>0</v>
      </c>
      <c r="BF351" s="32">
        <f>349</f>
        <v>349</v>
      </c>
      <c r="BH351" s="15">
        <f>G351*AO351</f>
        <v>0</v>
      </c>
      <c r="BI351" s="15">
        <f>G351*AP351</f>
        <v>0</v>
      </c>
      <c r="BJ351" s="15">
        <f>G351*H351</f>
        <v>0</v>
      </c>
    </row>
    <row r="352" spans="1:62" x14ac:dyDescent="0.2">
      <c r="C352" s="58" t="s">
        <v>617</v>
      </c>
      <c r="D352" s="59"/>
      <c r="E352" s="59"/>
      <c r="G352" s="16">
        <v>6</v>
      </c>
    </row>
    <row r="353" spans="1:62" x14ac:dyDescent="0.2">
      <c r="C353" s="58" t="s">
        <v>618</v>
      </c>
      <c r="D353" s="59"/>
      <c r="E353" s="59"/>
      <c r="G353" s="16">
        <v>6</v>
      </c>
    </row>
    <row r="354" spans="1:62" x14ac:dyDescent="0.2">
      <c r="A354" s="4" t="s">
        <v>129</v>
      </c>
      <c r="B354" s="4" t="s">
        <v>280</v>
      </c>
      <c r="C354" s="60" t="s">
        <v>619</v>
      </c>
      <c r="D354" s="61"/>
      <c r="E354" s="61"/>
      <c r="F354" s="4" t="s">
        <v>671</v>
      </c>
      <c r="G354" s="15">
        <v>8</v>
      </c>
      <c r="H354" s="15">
        <v>0</v>
      </c>
      <c r="I354" s="15">
        <f>G354*AO354</f>
        <v>0</v>
      </c>
      <c r="J354" s="15">
        <f>G354*AP354</f>
        <v>0</v>
      </c>
      <c r="K354" s="15">
        <f>G354*H354</f>
        <v>0</v>
      </c>
      <c r="L354" s="27" t="s">
        <v>690</v>
      </c>
      <c r="Z354" s="32">
        <f>IF(AQ354="5",BJ354,0)</f>
        <v>0</v>
      </c>
      <c r="AB354" s="32">
        <f>IF(AQ354="1",BH354,0)</f>
        <v>0</v>
      </c>
      <c r="AC354" s="32">
        <f>IF(AQ354="1",BI354,0)</f>
        <v>0</v>
      </c>
      <c r="AD354" s="32">
        <f>IF(AQ354="7",BH354,0)</f>
        <v>0</v>
      </c>
      <c r="AE354" s="32">
        <f>IF(AQ354="7",BI354,0)</f>
        <v>0</v>
      </c>
      <c r="AF354" s="32">
        <f>IF(AQ354="2",BH354,0)</f>
        <v>0</v>
      </c>
      <c r="AG354" s="32">
        <f>IF(AQ354="2",BI354,0)</f>
        <v>0</v>
      </c>
      <c r="AH354" s="32">
        <f>IF(AQ354="0",BJ354,0)</f>
        <v>0</v>
      </c>
      <c r="AI354" s="28"/>
      <c r="AJ354" s="15">
        <f>IF(AN354=0,K354,0)</f>
        <v>0</v>
      </c>
      <c r="AK354" s="15">
        <f>IF(AN354=15,K354,0)</f>
        <v>0</v>
      </c>
      <c r="AL354" s="15">
        <f>IF(AN354=21,K354,0)</f>
        <v>0</v>
      </c>
      <c r="AN354" s="32">
        <v>21</v>
      </c>
      <c r="AO354" s="32">
        <f>H354*0</f>
        <v>0</v>
      </c>
      <c r="AP354" s="32">
        <f>H354*(1-0)</f>
        <v>0</v>
      </c>
      <c r="AQ354" s="27" t="s">
        <v>7</v>
      </c>
      <c r="AV354" s="32">
        <f>AW354+AX354</f>
        <v>0</v>
      </c>
      <c r="AW354" s="32">
        <f>G354*AO354</f>
        <v>0</v>
      </c>
      <c r="AX354" s="32">
        <f>G354*AP354</f>
        <v>0</v>
      </c>
      <c r="AY354" s="33" t="s">
        <v>727</v>
      </c>
      <c r="AZ354" s="33" t="s">
        <v>738</v>
      </c>
      <c r="BA354" s="28" t="s">
        <v>739</v>
      </c>
      <c r="BC354" s="32">
        <f>AW354+AX354</f>
        <v>0</v>
      </c>
      <c r="BD354" s="32">
        <f>H354/(100-BE354)*100</f>
        <v>0</v>
      </c>
      <c r="BE354" s="32">
        <v>0</v>
      </c>
      <c r="BF354" s="32">
        <f>352</f>
        <v>352</v>
      </c>
      <c r="BH354" s="15">
        <f>G354*AO354</f>
        <v>0</v>
      </c>
      <c r="BI354" s="15">
        <f>G354*AP354</f>
        <v>0</v>
      </c>
      <c r="BJ354" s="15">
        <f>G354*H354</f>
        <v>0</v>
      </c>
    </row>
    <row r="355" spans="1:62" x14ac:dyDescent="0.2">
      <c r="C355" s="58" t="s">
        <v>620</v>
      </c>
      <c r="D355" s="59"/>
      <c r="E355" s="59"/>
      <c r="G355" s="16">
        <v>4</v>
      </c>
    </row>
    <row r="356" spans="1:62" x14ac:dyDescent="0.2">
      <c r="C356" s="58" t="s">
        <v>621</v>
      </c>
      <c r="D356" s="59"/>
      <c r="E356" s="59"/>
      <c r="G356" s="16">
        <v>4</v>
      </c>
    </row>
    <row r="357" spans="1:62" x14ac:dyDescent="0.2">
      <c r="A357" s="4" t="s">
        <v>130</v>
      </c>
      <c r="B357" s="4" t="s">
        <v>281</v>
      </c>
      <c r="C357" s="60" t="s">
        <v>622</v>
      </c>
      <c r="D357" s="61"/>
      <c r="E357" s="61"/>
      <c r="F357" s="4" t="s">
        <v>670</v>
      </c>
      <c r="G357" s="15">
        <v>8.5817999999999994</v>
      </c>
      <c r="H357" s="15">
        <v>0</v>
      </c>
      <c r="I357" s="15">
        <f>G357*AO357</f>
        <v>0</v>
      </c>
      <c r="J357" s="15">
        <f>G357*AP357</f>
        <v>0</v>
      </c>
      <c r="K357" s="15">
        <f>G357*H357</f>
        <v>0</v>
      </c>
      <c r="L357" s="27" t="s">
        <v>690</v>
      </c>
      <c r="Z357" s="32">
        <f>IF(AQ357="5",BJ357,0)</f>
        <v>0</v>
      </c>
      <c r="AB357" s="32">
        <f>IF(AQ357="1",BH357,0)</f>
        <v>0</v>
      </c>
      <c r="AC357" s="32">
        <f>IF(AQ357="1",BI357,0)</f>
        <v>0</v>
      </c>
      <c r="AD357" s="32">
        <f>IF(AQ357="7",BH357,0)</f>
        <v>0</v>
      </c>
      <c r="AE357" s="32">
        <f>IF(AQ357="7",BI357,0)</f>
        <v>0</v>
      </c>
      <c r="AF357" s="32">
        <f>IF(AQ357="2",BH357,0)</f>
        <v>0</v>
      </c>
      <c r="AG357" s="32">
        <f>IF(AQ357="2",BI357,0)</f>
        <v>0</v>
      </c>
      <c r="AH357" s="32">
        <f>IF(AQ357="0",BJ357,0)</f>
        <v>0</v>
      </c>
      <c r="AI357" s="28"/>
      <c r="AJ357" s="15">
        <f>IF(AN357=0,K357,0)</f>
        <v>0</v>
      </c>
      <c r="AK357" s="15">
        <f>IF(AN357=15,K357,0)</f>
        <v>0</v>
      </c>
      <c r="AL357" s="15">
        <f>IF(AN357=21,K357,0)</f>
        <v>0</v>
      </c>
      <c r="AN357" s="32">
        <v>21</v>
      </c>
      <c r="AO357" s="32">
        <f>H357*0.193977021334049</f>
        <v>0</v>
      </c>
      <c r="AP357" s="32">
        <f>H357*(1-0.193977021334049)</f>
        <v>0</v>
      </c>
      <c r="AQ357" s="27" t="s">
        <v>7</v>
      </c>
      <c r="AV357" s="32">
        <f>AW357+AX357</f>
        <v>0</v>
      </c>
      <c r="AW357" s="32">
        <f>G357*AO357</f>
        <v>0</v>
      </c>
      <c r="AX357" s="32">
        <f>G357*AP357</f>
        <v>0</v>
      </c>
      <c r="AY357" s="33" t="s">
        <v>727</v>
      </c>
      <c r="AZ357" s="33" t="s">
        <v>738</v>
      </c>
      <c r="BA357" s="28" t="s">
        <v>739</v>
      </c>
      <c r="BC357" s="32">
        <f>AW357+AX357</f>
        <v>0</v>
      </c>
      <c r="BD357" s="32">
        <f>H357/(100-BE357)*100</f>
        <v>0</v>
      </c>
      <c r="BE357" s="32">
        <v>0</v>
      </c>
      <c r="BF357" s="32">
        <f>355</f>
        <v>355</v>
      </c>
      <c r="BH357" s="15">
        <f>G357*AO357</f>
        <v>0</v>
      </c>
      <c r="BI357" s="15">
        <f>G357*AP357</f>
        <v>0</v>
      </c>
      <c r="BJ357" s="15">
        <f>G357*H357</f>
        <v>0</v>
      </c>
    </row>
    <row r="358" spans="1:62" x14ac:dyDescent="0.2">
      <c r="C358" s="58" t="s">
        <v>623</v>
      </c>
      <c r="D358" s="59"/>
      <c r="E358" s="59"/>
      <c r="G358" s="16">
        <v>1.8</v>
      </c>
    </row>
    <row r="359" spans="1:62" x14ac:dyDescent="0.2">
      <c r="C359" s="58" t="s">
        <v>624</v>
      </c>
      <c r="D359" s="59"/>
      <c r="E359" s="59"/>
      <c r="G359" s="16">
        <v>1.8</v>
      </c>
    </row>
    <row r="360" spans="1:62" x14ac:dyDescent="0.2">
      <c r="C360" s="58" t="s">
        <v>625</v>
      </c>
      <c r="D360" s="59"/>
      <c r="E360" s="59"/>
      <c r="G360" s="16">
        <v>4.9817999999999998</v>
      </c>
    </row>
    <row r="361" spans="1:62" x14ac:dyDescent="0.2">
      <c r="A361" s="4" t="s">
        <v>131</v>
      </c>
      <c r="B361" s="4" t="s">
        <v>282</v>
      </c>
      <c r="C361" s="60" t="s">
        <v>626</v>
      </c>
      <c r="D361" s="61"/>
      <c r="E361" s="61"/>
      <c r="F361" s="4" t="s">
        <v>670</v>
      </c>
      <c r="G361" s="15">
        <v>1.6319999999999999</v>
      </c>
      <c r="H361" s="15">
        <v>0</v>
      </c>
      <c r="I361" s="15">
        <f>G361*AO361</f>
        <v>0</v>
      </c>
      <c r="J361" s="15">
        <f>G361*AP361</f>
        <v>0</v>
      </c>
      <c r="K361" s="15">
        <f>G361*H361</f>
        <v>0</v>
      </c>
      <c r="L361" s="27" t="s">
        <v>690</v>
      </c>
      <c r="Z361" s="32">
        <f>IF(AQ361="5",BJ361,0)</f>
        <v>0</v>
      </c>
      <c r="AB361" s="32">
        <f>IF(AQ361="1",BH361,0)</f>
        <v>0</v>
      </c>
      <c r="AC361" s="32">
        <f>IF(AQ361="1",BI361,0)</f>
        <v>0</v>
      </c>
      <c r="AD361" s="32">
        <f>IF(AQ361="7",BH361,0)</f>
        <v>0</v>
      </c>
      <c r="AE361" s="32">
        <f>IF(AQ361="7",BI361,0)</f>
        <v>0</v>
      </c>
      <c r="AF361" s="32">
        <f>IF(AQ361="2",BH361,0)</f>
        <v>0</v>
      </c>
      <c r="AG361" s="32">
        <f>IF(AQ361="2",BI361,0)</f>
        <v>0</v>
      </c>
      <c r="AH361" s="32">
        <f>IF(AQ361="0",BJ361,0)</f>
        <v>0</v>
      </c>
      <c r="AI361" s="28"/>
      <c r="AJ361" s="15">
        <f>IF(AN361=0,K361,0)</f>
        <v>0</v>
      </c>
      <c r="AK361" s="15">
        <f>IF(AN361=15,K361,0)</f>
        <v>0</v>
      </c>
      <c r="AL361" s="15">
        <f>IF(AN361=21,K361,0)</f>
        <v>0</v>
      </c>
      <c r="AN361" s="32">
        <v>21</v>
      </c>
      <c r="AO361" s="32">
        <f>H361*0.14912925170068</f>
        <v>0</v>
      </c>
      <c r="AP361" s="32">
        <f>H361*(1-0.14912925170068)</f>
        <v>0</v>
      </c>
      <c r="AQ361" s="27" t="s">
        <v>7</v>
      </c>
      <c r="AV361" s="32">
        <f>AW361+AX361</f>
        <v>0</v>
      </c>
      <c r="AW361" s="32">
        <f>G361*AO361</f>
        <v>0</v>
      </c>
      <c r="AX361" s="32">
        <f>G361*AP361</f>
        <v>0</v>
      </c>
      <c r="AY361" s="33" t="s">
        <v>727</v>
      </c>
      <c r="AZ361" s="33" t="s">
        <v>738</v>
      </c>
      <c r="BA361" s="28" t="s">
        <v>739</v>
      </c>
      <c r="BC361" s="32">
        <f>AW361+AX361</f>
        <v>0</v>
      </c>
      <c r="BD361" s="32">
        <f>H361/(100-BE361)*100</f>
        <v>0</v>
      </c>
      <c r="BE361" s="32">
        <v>0</v>
      </c>
      <c r="BF361" s="32">
        <f>359</f>
        <v>359</v>
      </c>
      <c r="BH361" s="15">
        <f>G361*AO361</f>
        <v>0</v>
      </c>
      <c r="BI361" s="15">
        <f>G361*AP361</f>
        <v>0</v>
      </c>
      <c r="BJ361" s="15">
        <f>G361*H361</f>
        <v>0</v>
      </c>
    </row>
    <row r="362" spans="1:62" x14ac:dyDescent="0.2">
      <c r="C362" s="58" t="s">
        <v>627</v>
      </c>
      <c r="D362" s="59"/>
      <c r="E362" s="59"/>
      <c r="G362" s="16">
        <v>0.432</v>
      </c>
    </row>
    <row r="363" spans="1:62" x14ac:dyDescent="0.2">
      <c r="C363" s="58" t="s">
        <v>628</v>
      </c>
      <c r="D363" s="59"/>
      <c r="E363" s="59"/>
      <c r="G363" s="16">
        <v>0.39600000000000002</v>
      </c>
    </row>
    <row r="364" spans="1:62" x14ac:dyDescent="0.2">
      <c r="C364" s="58" t="s">
        <v>629</v>
      </c>
      <c r="D364" s="59"/>
      <c r="E364" s="59"/>
      <c r="G364" s="16">
        <v>0.14399999999999999</v>
      </c>
    </row>
    <row r="365" spans="1:62" x14ac:dyDescent="0.2">
      <c r="C365" s="58" t="s">
        <v>630</v>
      </c>
      <c r="D365" s="59"/>
      <c r="E365" s="59"/>
      <c r="G365" s="16">
        <v>0.66</v>
      </c>
    </row>
    <row r="366" spans="1:62" x14ac:dyDescent="0.2">
      <c r="A366" s="4" t="s">
        <v>132</v>
      </c>
      <c r="B366" s="4" t="s">
        <v>283</v>
      </c>
      <c r="C366" s="60" t="s">
        <v>631</v>
      </c>
      <c r="D366" s="61"/>
      <c r="E366" s="61"/>
      <c r="F366" s="4" t="s">
        <v>670</v>
      </c>
      <c r="G366" s="15">
        <v>0.92</v>
      </c>
      <c r="H366" s="15">
        <v>0</v>
      </c>
      <c r="I366" s="15">
        <f>G366*AO366</f>
        <v>0</v>
      </c>
      <c r="J366" s="15">
        <f>G366*AP366</f>
        <v>0</v>
      </c>
      <c r="K366" s="15">
        <f>G366*H366</f>
        <v>0</v>
      </c>
      <c r="L366" s="27" t="s">
        <v>690</v>
      </c>
      <c r="Z366" s="32">
        <f>IF(AQ366="5",BJ366,0)</f>
        <v>0</v>
      </c>
      <c r="AB366" s="32">
        <f>IF(AQ366="1",BH366,0)</f>
        <v>0</v>
      </c>
      <c r="AC366" s="32">
        <f>IF(AQ366="1",BI366,0)</f>
        <v>0</v>
      </c>
      <c r="AD366" s="32">
        <f>IF(AQ366="7",BH366,0)</f>
        <v>0</v>
      </c>
      <c r="AE366" s="32">
        <f>IF(AQ366="7",BI366,0)</f>
        <v>0</v>
      </c>
      <c r="AF366" s="32">
        <f>IF(AQ366="2",BH366,0)</f>
        <v>0</v>
      </c>
      <c r="AG366" s="32">
        <f>IF(AQ366="2",BI366,0)</f>
        <v>0</v>
      </c>
      <c r="AH366" s="32">
        <f>IF(AQ366="0",BJ366,0)</f>
        <v>0</v>
      </c>
      <c r="AI366" s="28"/>
      <c r="AJ366" s="15">
        <f>IF(AN366=0,K366,0)</f>
        <v>0</v>
      </c>
      <c r="AK366" s="15">
        <f>IF(AN366=15,K366,0)</f>
        <v>0</v>
      </c>
      <c r="AL366" s="15">
        <f>IF(AN366=21,K366,0)</f>
        <v>0</v>
      </c>
      <c r="AN366" s="32">
        <v>21</v>
      </c>
      <c r="AO366" s="32">
        <f>H366*0.162469879518072</f>
        <v>0</v>
      </c>
      <c r="AP366" s="32">
        <f>H366*(1-0.162469879518072)</f>
        <v>0</v>
      </c>
      <c r="AQ366" s="27" t="s">
        <v>7</v>
      </c>
      <c r="AV366" s="32">
        <f>AW366+AX366</f>
        <v>0</v>
      </c>
      <c r="AW366" s="32">
        <f>G366*AO366</f>
        <v>0</v>
      </c>
      <c r="AX366" s="32">
        <f>G366*AP366</f>
        <v>0</v>
      </c>
      <c r="AY366" s="33" t="s">
        <v>727</v>
      </c>
      <c r="AZ366" s="33" t="s">
        <v>738</v>
      </c>
      <c r="BA366" s="28" t="s">
        <v>739</v>
      </c>
      <c r="BC366" s="32">
        <f>AW366+AX366</f>
        <v>0</v>
      </c>
      <c r="BD366" s="32">
        <f>H366/(100-BE366)*100</f>
        <v>0</v>
      </c>
      <c r="BE366" s="32">
        <v>0</v>
      </c>
      <c r="BF366" s="32">
        <f>364</f>
        <v>364</v>
      </c>
      <c r="BH366" s="15">
        <f>G366*AO366</f>
        <v>0</v>
      </c>
      <c r="BI366" s="15">
        <f>G366*AP366</f>
        <v>0</v>
      </c>
      <c r="BJ366" s="15">
        <f>G366*H366</f>
        <v>0</v>
      </c>
    </row>
    <row r="367" spans="1:62" x14ac:dyDescent="0.2">
      <c r="C367" s="58" t="s">
        <v>632</v>
      </c>
      <c r="D367" s="59"/>
      <c r="E367" s="59"/>
      <c r="G367" s="16">
        <v>0.24</v>
      </c>
    </row>
    <row r="368" spans="1:62" x14ac:dyDescent="0.2">
      <c r="C368" s="58" t="s">
        <v>633</v>
      </c>
      <c r="D368" s="59"/>
      <c r="E368" s="59"/>
      <c r="G368" s="16">
        <v>0.22</v>
      </c>
    </row>
    <row r="369" spans="1:62" x14ac:dyDescent="0.2">
      <c r="C369" s="58" t="s">
        <v>634</v>
      </c>
      <c r="D369" s="59"/>
      <c r="E369" s="59"/>
      <c r="G369" s="16">
        <v>0.24</v>
      </c>
    </row>
    <row r="370" spans="1:62" x14ac:dyDescent="0.2">
      <c r="C370" s="58" t="s">
        <v>635</v>
      </c>
      <c r="D370" s="59"/>
      <c r="E370" s="59"/>
      <c r="G370" s="16">
        <v>0.22</v>
      </c>
    </row>
    <row r="371" spans="1:62" x14ac:dyDescent="0.2">
      <c r="A371" s="4" t="s">
        <v>133</v>
      </c>
      <c r="B371" s="4" t="s">
        <v>284</v>
      </c>
      <c r="C371" s="60" t="s">
        <v>636</v>
      </c>
      <c r="D371" s="61"/>
      <c r="E371" s="61"/>
      <c r="F371" s="4" t="s">
        <v>668</v>
      </c>
      <c r="G371" s="15">
        <v>2.4908999999999999</v>
      </c>
      <c r="H371" s="15">
        <v>0</v>
      </c>
      <c r="I371" s="15">
        <f>G371*AO371</f>
        <v>0</v>
      </c>
      <c r="J371" s="15">
        <f>G371*AP371</f>
        <v>0</v>
      </c>
      <c r="K371" s="15">
        <f>G371*H371</f>
        <v>0</v>
      </c>
      <c r="L371" s="27" t="s">
        <v>690</v>
      </c>
      <c r="Z371" s="32">
        <f>IF(AQ371="5",BJ371,0)</f>
        <v>0</v>
      </c>
      <c r="AB371" s="32">
        <f>IF(AQ371="1",BH371,0)</f>
        <v>0</v>
      </c>
      <c r="AC371" s="32">
        <f>IF(AQ371="1",BI371,0)</f>
        <v>0</v>
      </c>
      <c r="AD371" s="32">
        <f>IF(AQ371="7",BH371,0)</f>
        <v>0</v>
      </c>
      <c r="AE371" s="32">
        <f>IF(AQ371="7",BI371,0)</f>
        <v>0</v>
      </c>
      <c r="AF371" s="32">
        <f>IF(AQ371="2",BH371,0)</f>
        <v>0</v>
      </c>
      <c r="AG371" s="32">
        <f>IF(AQ371="2",BI371,0)</f>
        <v>0</v>
      </c>
      <c r="AH371" s="32">
        <f>IF(AQ371="0",BJ371,0)</f>
        <v>0</v>
      </c>
      <c r="AI371" s="28"/>
      <c r="AJ371" s="15">
        <f>IF(AN371=0,K371,0)</f>
        <v>0</v>
      </c>
      <c r="AK371" s="15">
        <f>IF(AN371=15,K371,0)</f>
        <v>0</v>
      </c>
      <c r="AL371" s="15">
        <f>IF(AN371=21,K371,0)</f>
        <v>0</v>
      </c>
      <c r="AN371" s="32">
        <v>21</v>
      </c>
      <c r="AO371" s="32">
        <f>H371*0</f>
        <v>0</v>
      </c>
      <c r="AP371" s="32">
        <f>H371*(1-0)</f>
        <v>0</v>
      </c>
      <c r="AQ371" s="27" t="s">
        <v>7</v>
      </c>
      <c r="AV371" s="32">
        <f>AW371+AX371</f>
        <v>0</v>
      </c>
      <c r="AW371" s="32">
        <f>G371*AO371</f>
        <v>0</v>
      </c>
      <c r="AX371" s="32">
        <f>G371*AP371</f>
        <v>0</v>
      </c>
      <c r="AY371" s="33" t="s">
        <v>727</v>
      </c>
      <c r="AZ371" s="33" t="s">
        <v>738</v>
      </c>
      <c r="BA371" s="28" t="s">
        <v>739</v>
      </c>
      <c r="BC371" s="32">
        <f>AW371+AX371</f>
        <v>0</v>
      </c>
      <c r="BD371" s="32">
        <f>H371/(100-BE371)*100</f>
        <v>0</v>
      </c>
      <c r="BE371" s="32">
        <v>0</v>
      </c>
      <c r="BF371" s="32">
        <f>369</f>
        <v>369</v>
      </c>
      <c r="BH371" s="15">
        <f>G371*AO371</f>
        <v>0</v>
      </c>
      <c r="BI371" s="15">
        <f>G371*AP371</f>
        <v>0</v>
      </c>
      <c r="BJ371" s="15">
        <f>G371*H371</f>
        <v>0</v>
      </c>
    </row>
    <row r="372" spans="1:62" x14ac:dyDescent="0.2">
      <c r="C372" s="58" t="s">
        <v>637</v>
      </c>
      <c r="D372" s="59"/>
      <c r="E372" s="59"/>
      <c r="G372" s="16">
        <v>2.4908999999999999</v>
      </c>
    </row>
    <row r="373" spans="1:62" x14ac:dyDescent="0.2">
      <c r="A373" s="5"/>
      <c r="B373" s="13" t="s">
        <v>285</v>
      </c>
      <c r="C373" s="66" t="s">
        <v>638</v>
      </c>
      <c r="D373" s="67"/>
      <c r="E373" s="67"/>
      <c r="F373" s="5" t="s">
        <v>6</v>
      </c>
      <c r="G373" s="5" t="s">
        <v>6</v>
      </c>
      <c r="H373" s="5" t="s">
        <v>6</v>
      </c>
      <c r="I373" s="35">
        <f>SUM(I374:I374)</f>
        <v>0</v>
      </c>
      <c r="J373" s="35">
        <f>SUM(J374:J374)</f>
        <v>0</v>
      </c>
      <c r="K373" s="35">
        <f>SUM(K374:K374)</f>
        <v>0</v>
      </c>
      <c r="L373" s="28"/>
      <c r="AI373" s="28"/>
      <c r="AS373" s="35">
        <f>SUM(AJ374:AJ374)</f>
        <v>0</v>
      </c>
      <c r="AT373" s="35">
        <f>SUM(AK374:AK374)</f>
        <v>0</v>
      </c>
      <c r="AU373" s="35">
        <f>SUM(AL374:AL374)</f>
        <v>0</v>
      </c>
    </row>
    <row r="374" spans="1:62" x14ac:dyDescent="0.2">
      <c r="A374" s="4" t="s">
        <v>134</v>
      </c>
      <c r="B374" s="4" t="s">
        <v>286</v>
      </c>
      <c r="C374" s="60" t="s">
        <v>639</v>
      </c>
      <c r="D374" s="61"/>
      <c r="E374" s="61"/>
      <c r="F374" s="4" t="s">
        <v>672</v>
      </c>
      <c r="G374" s="15">
        <v>96.833759999999998</v>
      </c>
      <c r="H374" s="15">
        <v>0</v>
      </c>
      <c r="I374" s="15">
        <f>G374*AO374</f>
        <v>0</v>
      </c>
      <c r="J374" s="15">
        <f>G374*AP374</f>
        <v>0</v>
      </c>
      <c r="K374" s="15">
        <f>G374*H374</f>
        <v>0</v>
      </c>
      <c r="L374" s="27" t="s">
        <v>690</v>
      </c>
      <c r="Z374" s="32">
        <f>IF(AQ374="5",BJ374,0)</f>
        <v>0</v>
      </c>
      <c r="AB374" s="32">
        <f>IF(AQ374="1",BH374,0)</f>
        <v>0</v>
      </c>
      <c r="AC374" s="32">
        <f>IF(AQ374="1",BI374,0)</f>
        <v>0</v>
      </c>
      <c r="AD374" s="32">
        <f>IF(AQ374="7",BH374,0)</f>
        <v>0</v>
      </c>
      <c r="AE374" s="32">
        <f>IF(AQ374="7",BI374,0)</f>
        <v>0</v>
      </c>
      <c r="AF374" s="32">
        <f>IF(AQ374="2",BH374,0)</f>
        <v>0</v>
      </c>
      <c r="AG374" s="32">
        <f>IF(AQ374="2",BI374,0)</f>
        <v>0</v>
      </c>
      <c r="AH374" s="32">
        <f>IF(AQ374="0",BJ374,0)</f>
        <v>0</v>
      </c>
      <c r="AI374" s="28"/>
      <c r="AJ374" s="15">
        <f>IF(AN374=0,K374,0)</f>
        <v>0</v>
      </c>
      <c r="AK374" s="15">
        <f>IF(AN374=15,K374,0)</f>
        <v>0</v>
      </c>
      <c r="AL374" s="15">
        <f>IF(AN374=21,K374,0)</f>
        <v>0</v>
      </c>
      <c r="AN374" s="32">
        <v>21</v>
      </c>
      <c r="AO374" s="32">
        <f>H374*0</f>
        <v>0</v>
      </c>
      <c r="AP374" s="32">
        <f>H374*(1-0)</f>
        <v>0</v>
      </c>
      <c r="AQ374" s="27" t="s">
        <v>11</v>
      </c>
      <c r="AV374" s="32">
        <f>AW374+AX374</f>
        <v>0</v>
      </c>
      <c r="AW374" s="32">
        <f>G374*AO374</f>
        <v>0</v>
      </c>
      <c r="AX374" s="32">
        <f>G374*AP374</f>
        <v>0</v>
      </c>
      <c r="AY374" s="33" t="s">
        <v>728</v>
      </c>
      <c r="AZ374" s="33" t="s">
        <v>738</v>
      </c>
      <c r="BA374" s="28" t="s">
        <v>739</v>
      </c>
      <c r="BC374" s="32">
        <f>AW374+AX374</f>
        <v>0</v>
      </c>
      <c r="BD374" s="32">
        <f>H374/(100-BE374)*100</f>
        <v>0</v>
      </c>
      <c r="BE374" s="32">
        <v>0</v>
      </c>
      <c r="BF374" s="32">
        <f>372</f>
        <v>372</v>
      </c>
      <c r="BH374" s="15">
        <f>G374*AO374</f>
        <v>0</v>
      </c>
      <c r="BI374" s="15">
        <f>G374*AP374</f>
        <v>0</v>
      </c>
      <c r="BJ374" s="15">
        <f>G374*H374</f>
        <v>0</v>
      </c>
    </row>
    <row r="375" spans="1:62" x14ac:dyDescent="0.2">
      <c r="C375" s="58" t="s">
        <v>640</v>
      </c>
      <c r="D375" s="59"/>
      <c r="E375" s="59"/>
      <c r="G375" s="16">
        <v>96.833759999999998</v>
      </c>
    </row>
    <row r="376" spans="1:62" x14ac:dyDescent="0.2">
      <c r="A376" s="5"/>
      <c r="B376" s="13" t="s">
        <v>287</v>
      </c>
      <c r="C376" s="66" t="s">
        <v>641</v>
      </c>
      <c r="D376" s="67"/>
      <c r="E376" s="67"/>
      <c r="F376" s="5" t="s">
        <v>6</v>
      </c>
      <c r="G376" s="5" t="s">
        <v>6</v>
      </c>
      <c r="H376" s="5" t="s">
        <v>6</v>
      </c>
      <c r="I376" s="35">
        <f>SUM(I377:I377)</f>
        <v>0</v>
      </c>
      <c r="J376" s="35">
        <f>SUM(J377:J377)</f>
        <v>0</v>
      </c>
      <c r="K376" s="35">
        <f>SUM(K377:K377)</f>
        <v>0</v>
      </c>
      <c r="L376" s="28"/>
      <c r="AI376" s="28"/>
      <c r="AS376" s="35">
        <f>SUM(AJ377:AJ377)</f>
        <v>0</v>
      </c>
      <c r="AT376" s="35">
        <f>SUM(AK377:AK377)</f>
        <v>0</v>
      </c>
      <c r="AU376" s="35">
        <f>SUM(AL377:AL377)</f>
        <v>0</v>
      </c>
    </row>
    <row r="377" spans="1:62" x14ac:dyDescent="0.2">
      <c r="A377" s="4" t="s">
        <v>135</v>
      </c>
      <c r="B377" s="4" t="s">
        <v>288</v>
      </c>
      <c r="C377" s="60" t="s">
        <v>642</v>
      </c>
      <c r="D377" s="61"/>
      <c r="E377" s="61"/>
      <c r="F377" s="4" t="s">
        <v>667</v>
      </c>
      <c r="G377" s="15">
        <v>68</v>
      </c>
      <c r="H377" s="15">
        <v>0</v>
      </c>
      <c r="I377" s="15">
        <f>G377*AO377</f>
        <v>0</v>
      </c>
      <c r="J377" s="15">
        <f>G377*AP377</f>
        <v>0</v>
      </c>
      <c r="K377" s="15">
        <f>G377*H377</f>
        <v>0</v>
      </c>
      <c r="L377" s="27" t="s">
        <v>690</v>
      </c>
      <c r="Z377" s="32">
        <f>IF(AQ377="5",BJ377,0)</f>
        <v>0</v>
      </c>
      <c r="AB377" s="32">
        <f>IF(AQ377="1",BH377,0)</f>
        <v>0</v>
      </c>
      <c r="AC377" s="32">
        <f>IF(AQ377="1",BI377,0)</f>
        <v>0</v>
      </c>
      <c r="AD377" s="32">
        <f>IF(AQ377="7",BH377,0)</f>
        <v>0</v>
      </c>
      <c r="AE377" s="32">
        <f>IF(AQ377="7",BI377,0)</f>
        <v>0</v>
      </c>
      <c r="AF377" s="32">
        <f>IF(AQ377="2",BH377,0)</f>
        <v>0</v>
      </c>
      <c r="AG377" s="32">
        <f>IF(AQ377="2",BI377,0)</f>
        <v>0</v>
      </c>
      <c r="AH377" s="32">
        <f>IF(AQ377="0",BJ377,0)</f>
        <v>0</v>
      </c>
      <c r="AI377" s="28"/>
      <c r="AJ377" s="15">
        <f>IF(AN377=0,K377,0)</f>
        <v>0</v>
      </c>
      <c r="AK377" s="15">
        <f>IF(AN377=15,K377,0)</f>
        <v>0</v>
      </c>
      <c r="AL377" s="15">
        <f>IF(AN377=21,K377,0)</f>
        <v>0</v>
      </c>
      <c r="AN377" s="32">
        <v>21</v>
      </c>
      <c r="AO377" s="32">
        <f>H377*0.111111111111111</f>
        <v>0</v>
      </c>
      <c r="AP377" s="32">
        <f>H377*(1-0.111111111111111)</f>
        <v>0</v>
      </c>
      <c r="AQ377" s="27" t="s">
        <v>8</v>
      </c>
      <c r="AV377" s="32">
        <f>AW377+AX377</f>
        <v>0</v>
      </c>
      <c r="AW377" s="32">
        <f>G377*AO377</f>
        <v>0</v>
      </c>
      <c r="AX377" s="32">
        <f>G377*AP377</f>
        <v>0</v>
      </c>
      <c r="AY377" s="33" t="s">
        <v>729</v>
      </c>
      <c r="AZ377" s="33" t="s">
        <v>738</v>
      </c>
      <c r="BA377" s="28" t="s">
        <v>739</v>
      </c>
      <c r="BC377" s="32">
        <f>AW377+AX377</f>
        <v>0</v>
      </c>
      <c r="BD377" s="32">
        <f>H377/(100-BE377)*100</f>
        <v>0</v>
      </c>
      <c r="BE377" s="32">
        <v>0</v>
      </c>
      <c r="BF377" s="32">
        <f>375</f>
        <v>375</v>
      </c>
      <c r="BH377" s="15">
        <f>G377*AO377</f>
        <v>0</v>
      </c>
      <c r="BI377" s="15">
        <f>G377*AP377</f>
        <v>0</v>
      </c>
      <c r="BJ377" s="15">
        <f>G377*H377</f>
        <v>0</v>
      </c>
    </row>
    <row r="378" spans="1:62" x14ac:dyDescent="0.2">
      <c r="C378" s="58" t="s">
        <v>643</v>
      </c>
      <c r="D378" s="59"/>
      <c r="E378" s="59"/>
      <c r="G378" s="16">
        <v>68</v>
      </c>
    </row>
    <row r="379" spans="1:62" x14ac:dyDescent="0.2">
      <c r="A379" s="5"/>
      <c r="B379" s="13" t="s">
        <v>289</v>
      </c>
      <c r="C379" s="66" t="s">
        <v>644</v>
      </c>
      <c r="D379" s="67"/>
      <c r="E379" s="67"/>
      <c r="F379" s="5" t="s">
        <v>6</v>
      </c>
      <c r="G379" s="5" t="s">
        <v>6</v>
      </c>
      <c r="H379" s="5" t="s">
        <v>6</v>
      </c>
      <c r="I379" s="35">
        <f>SUM(I380:I398)</f>
        <v>0</v>
      </c>
      <c r="J379" s="35">
        <f>SUM(J380:J398)</f>
        <v>0</v>
      </c>
      <c r="K379" s="35">
        <f>SUM(K380:K398)</f>
        <v>0</v>
      </c>
      <c r="L379" s="28"/>
      <c r="AI379" s="28"/>
      <c r="AS379" s="35">
        <f>SUM(AJ380:AJ398)</f>
        <v>0</v>
      </c>
      <c r="AT379" s="35">
        <f>SUM(AK380:AK398)</f>
        <v>0</v>
      </c>
      <c r="AU379" s="35">
        <f>SUM(AL380:AL398)</f>
        <v>0</v>
      </c>
    </row>
    <row r="380" spans="1:62" x14ac:dyDescent="0.2">
      <c r="A380" s="4" t="s">
        <v>136</v>
      </c>
      <c r="B380" s="4" t="s">
        <v>290</v>
      </c>
      <c r="C380" s="60" t="s">
        <v>645</v>
      </c>
      <c r="D380" s="61"/>
      <c r="E380" s="61"/>
      <c r="F380" s="4" t="s">
        <v>672</v>
      </c>
      <c r="G380" s="15">
        <v>107.02218000000001</v>
      </c>
      <c r="H380" s="15">
        <v>0</v>
      </c>
      <c r="I380" s="15">
        <f>G380*AO380</f>
        <v>0</v>
      </c>
      <c r="J380" s="15">
        <f>G380*AP380</f>
        <v>0</v>
      </c>
      <c r="K380" s="15">
        <f>G380*H380</f>
        <v>0</v>
      </c>
      <c r="L380" s="27" t="s">
        <v>690</v>
      </c>
      <c r="Z380" s="32">
        <f>IF(AQ380="5",BJ380,0)</f>
        <v>0</v>
      </c>
      <c r="AB380" s="32">
        <f>IF(AQ380="1",BH380,0)</f>
        <v>0</v>
      </c>
      <c r="AC380" s="32">
        <f>IF(AQ380="1",BI380,0)</f>
        <v>0</v>
      </c>
      <c r="AD380" s="32">
        <f>IF(AQ380="7",BH380,0)</f>
        <v>0</v>
      </c>
      <c r="AE380" s="32">
        <f>IF(AQ380="7",BI380,0)</f>
        <v>0</v>
      </c>
      <c r="AF380" s="32">
        <f>IF(AQ380="2",BH380,0)</f>
        <v>0</v>
      </c>
      <c r="AG380" s="32">
        <f>IF(AQ380="2",BI380,0)</f>
        <v>0</v>
      </c>
      <c r="AH380" s="32">
        <f>IF(AQ380="0",BJ380,0)</f>
        <v>0</v>
      </c>
      <c r="AI380" s="28"/>
      <c r="AJ380" s="15">
        <f>IF(AN380=0,K380,0)</f>
        <v>0</v>
      </c>
      <c r="AK380" s="15">
        <f>IF(AN380=15,K380,0)</f>
        <v>0</v>
      </c>
      <c r="AL380" s="15">
        <f>IF(AN380=21,K380,0)</f>
        <v>0</v>
      </c>
      <c r="AN380" s="32">
        <v>21</v>
      </c>
      <c r="AO380" s="32">
        <f>H380*0</f>
        <v>0</v>
      </c>
      <c r="AP380" s="32">
        <f>H380*(1-0)</f>
        <v>0</v>
      </c>
      <c r="AQ380" s="27" t="s">
        <v>11</v>
      </c>
      <c r="AV380" s="32">
        <f>AW380+AX380</f>
        <v>0</v>
      </c>
      <c r="AW380" s="32">
        <f>G380*AO380</f>
        <v>0</v>
      </c>
      <c r="AX380" s="32">
        <f>G380*AP380</f>
        <v>0</v>
      </c>
      <c r="AY380" s="33" t="s">
        <v>730</v>
      </c>
      <c r="AZ380" s="33" t="s">
        <v>738</v>
      </c>
      <c r="BA380" s="28" t="s">
        <v>739</v>
      </c>
      <c r="BC380" s="32">
        <f>AW380+AX380</f>
        <v>0</v>
      </c>
      <c r="BD380" s="32">
        <f>H380/(100-BE380)*100</f>
        <v>0</v>
      </c>
      <c r="BE380" s="32">
        <v>0</v>
      </c>
      <c r="BF380" s="32">
        <f>378</f>
        <v>378</v>
      </c>
      <c r="BH380" s="15">
        <f>G380*AO380</f>
        <v>0</v>
      </c>
      <c r="BI380" s="15">
        <f>G380*AP380</f>
        <v>0</v>
      </c>
      <c r="BJ380" s="15">
        <f>G380*H380</f>
        <v>0</v>
      </c>
    </row>
    <row r="381" spans="1:62" x14ac:dyDescent="0.2">
      <c r="C381" s="58" t="s">
        <v>646</v>
      </c>
      <c r="D381" s="59"/>
      <c r="E381" s="59"/>
      <c r="G381" s="16">
        <v>107.02218000000001</v>
      </c>
    </row>
    <row r="382" spans="1:62" x14ac:dyDescent="0.2">
      <c r="A382" s="4" t="s">
        <v>137</v>
      </c>
      <c r="B382" s="4" t="s">
        <v>291</v>
      </c>
      <c r="C382" s="60" t="s">
        <v>647</v>
      </c>
      <c r="D382" s="61"/>
      <c r="E382" s="61"/>
      <c r="F382" s="4" t="s">
        <v>672</v>
      </c>
      <c r="G382" s="15">
        <v>107.02218000000001</v>
      </c>
      <c r="H382" s="15">
        <v>0</v>
      </c>
      <c r="I382" s="15">
        <f>G382*AO382</f>
        <v>0</v>
      </c>
      <c r="J382" s="15">
        <f>G382*AP382</f>
        <v>0</v>
      </c>
      <c r="K382" s="15">
        <f>G382*H382</f>
        <v>0</v>
      </c>
      <c r="L382" s="27" t="s">
        <v>690</v>
      </c>
      <c r="Z382" s="32">
        <f>IF(AQ382="5",BJ382,0)</f>
        <v>0</v>
      </c>
      <c r="AB382" s="32">
        <f>IF(AQ382="1",BH382,0)</f>
        <v>0</v>
      </c>
      <c r="AC382" s="32">
        <f>IF(AQ382="1",BI382,0)</f>
        <v>0</v>
      </c>
      <c r="AD382" s="32">
        <f>IF(AQ382="7",BH382,0)</f>
        <v>0</v>
      </c>
      <c r="AE382" s="32">
        <f>IF(AQ382="7",BI382,0)</f>
        <v>0</v>
      </c>
      <c r="AF382" s="32">
        <f>IF(AQ382="2",BH382,0)</f>
        <v>0</v>
      </c>
      <c r="AG382" s="32">
        <f>IF(AQ382="2",BI382,0)</f>
        <v>0</v>
      </c>
      <c r="AH382" s="32">
        <f>IF(AQ382="0",BJ382,0)</f>
        <v>0</v>
      </c>
      <c r="AI382" s="28"/>
      <c r="AJ382" s="15">
        <f>IF(AN382=0,K382,0)</f>
        <v>0</v>
      </c>
      <c r="AK382" s="15">
        <f>IF(AN382=15,K382,0)</f>
        <v>0</v>
      </c>
      <c r="AL382" s="15">
        <f>IF(AN382=21,K382,0)</f>
        <v>0</v>
      </c>
      <c r="AN382" s="32">
        <v>21</v>
      </c>
      <c r="AO382" s="32">
        <f>H382*0</f>
        <v>0</v>
      </c>
      <c r="AP382" s="32">
        <f>H382*(1-0)</f>
        <v>0</v>
      </c>
      <c r="AQ382" s="27" t="s">
        <v>11</v>
      </c>
      <c r="AV382" s="32">
        <f>AW382+AX382</f>
        <v>0</v>
      </c>
      <c r="AW382" s="32">
        <f>G382*AO382</f>
        <v>0</v>
      </c>
      <c r="AX382" s="32">
        <f>G382*AP382</f>
        <v>0</v>
      </c>
      <c r="AY382" s="33" t="s">
        <v>730</v>
      </c>
      <c r="AZ382" s="33" t="s">
        <v>738</v>
      </c>
      <c r="BA382" s="28" t="s">
        <v>739</v>
      </c>
      <c r="BC382" s="32">
        <f>AW382+AX382</f>
        <v>0</v>
      </c>
      <c r="BD382" s="32">
        <f>H382/(100-BE382)*100</f>
        <v>0</v>
      </c>
      <c r="BE382" s="32">
        <v>0</v>
      </c>
      <c r="BF382" s="32">
        <f>380</f>
        <v>380</v>
      </c>
      <c r="BH382" s="15">
        <f>G382*AO382</f>
        <v>0</v>
      </c>
      <c r="BI382" s="15">
        <f>G382*AP382</f>
        <v>0</v>
      </c>
      <c r="BJ382" s="15">
        <f>G382*H382</f>
        <v>0</v>
      </c>
    </row>
    <row r="383" spans="1:62" x14ac:dyDescent="0.2">
      <c r="C383" s="58" t="s">
        <v>646</v>
      </c>
      <c r="D383" s="59"/>
      <c r="E383" s="59"/>
      <c r="G383" s="16">
        <v>107.02218000000001</v>
      </c>
    </row>
    <row r="384" spans="1:62" x14ac:dyDescent="0.2">
      <c r="A384" s="4" t="s">
        <v>138</v>
      </c>
      <c r="B384" s="4" t="s">
        <v>292</v>
      </c>
      <c r="C384" s="60" t="s">
        <v>648</v>
      </c>
      <c r="D384" s="61"/>
      <c r="E384" s="61"/>
      <c r="F384" s="4" t="s">
        <v>672</v>
      </c>
      <c r="G384" s="15">
        <v>107.02218000000001</v>
      </c>
      <c r="H384" s="15">
        <v>0</v>
      </c>
      <c r="I384" s="15">
        <f>G384*AO384</f>
        <v>0</v>
      </c>
      <c r="J384" s="15">
        <f>G384*AP384</f>
        <v>0</v>
      </c>
      <c r="K384" s="15">
        <f>G384*H384</f>
        <v>0</v>
      </c>
      <c r="L384" s="27" t="s">
        <v>690</v>
      </c>
      <c r="Z384" s="32">
        <f>IF(AQ384="5",BJ384,0)</f>
        <v>0</v>
      </c>
      <c r="AB384" s="32">
        <f>IF(AQ384="1",BH384,0)</f>
        <v>0</v>
      </c>
      <c r="AC384" s="32">
        <f>IF(AQ384="1",BI384,0)</f>
        <v>0</v>
      </c>
      <c r="AD384" s="32">
        <f>IF(AQ384="7",BH384,0)</f>
        <v>0</v>
      </c>
      <c r="AE384" s="32">
        <f>IF(AQ384="7",BI384,0)</f>
        <v>0</v>
      </c>
      <c r="AF384" s="32">
        <f>IF(AQ384="2",BH384,0)</f>
        <v>0</v>
      </c>
      <c r="AG384" s="32">
        <f>IF(AQ384="2",BI384,0)</f>
        <v>0</v>
      </c>
      <c r="AH384" s="32">
        <f>IF(AQ384="0",BJ384,0)</f>
        <v>0</v>
      </c>
      <c r="AI384" s="28"/>
      <c r="AJ384" s="15">
        <f>IF(AN384=0,K384,0)</f>
        <v>0</v>
      </c>
      <c r="AK384" s="15">
        <f>IF(AN384=15,K384,0)</f>
        <v>0</v>
      </c>
      <c r="AL384" s="15">
        <f>IF(AN384=21,K384,0)</f>
        <v>0</v>
      </c>
      <c r="AN384" s="32">
        <v>21</v>
      </c>
      <c r="AO384" s="32">
        <f>H384*0</f>
        <v>0</v>
      </c>
      <c r="AP384" s="32">
        <f>H384*(1-0)</f>
        <v>0</v>
      </c>
      <c r="AQ384" s="27" t="s">
        <v>11</v>
      </c>
      <c r="AV384" s="32">
        <f>AW384+AX384</f>
        <v>0</v>
      </c>
      <c r="AW384" s="32">
        <f>G384*AO384</f>
        <v>0</v>
      </c>
      <c r="AX384" s="32">
        <f>G384*AP384</f>
        <v>0</v>
      </c>
      <c r="AY384" s="33" t="s">
        <v>730</v>
      </c>
      <c r="AZ384" s="33" t="s">
        <v>738</v>
      </c>
      <c r="BA384" s="28" t="s">
        <v>739</v>
      </c>
      <c r="BC384" s="32">
        <f>AW384+AX384</f>
        <v>0</v>
      </c>
      <c r="BD384" s="32">
        <f>H384/(100-BE384)*100</f>
        <v>0</v>
      </c>
      <c r="BE384" s="32">
        <v>0</v>
      </c>
      <c r="BF384" s="32">
        <f>382</f>
        <v>382</v>
      </c>
      <c r="BH384" s="15">
        <f>G384*AO384</f>
        <v>0</v>
      </c>
      <c r="BI384" s="15">
        <f>G384*AP384</f>
        <v>0</v>
      </c>
      <c r="BJ384" s="15">
        <f>G384*H384</f>
        <v>0</v>
      </c>
    </row>
    <row r="385" spans="1:62" x14ac:dyDescent="0.2">
      <c r="C385" s="58" t="s">
        <v>646</v>
      </c>
      <c r="D385" s="59"/>
      <c r="E385" s="59"/>
      <c r="G385" s="16">
        <v>107.02218000000001</v>
      </c>
    </row>
    <row r="386" spans="1:62" x14ac:dyDescent="0.2">
      <c r="A386" s="4" t="s">
        <v>139</v>
      </c>
      <c r="B386" s="4" t="s">
        <v>293</v>
      </c>
      <c r="C386" s="60" t="s">
        <v>649</v>
      </c>
      <c r="D386" s="61"/>
      <c r="E386" s="61"/>
      <c r="F386" s="4" t="s">
        <v>672</v>
      </c>
      <c r="G386" s="15">
        <v>107.02218000000001</v>
      </c>
      <c r="H386" s="15">
        <v>0</v>
      </c>
      <c r="I386" s="15">
        <f>G386*AO386</f>
        <v>0</v>
      </c>
      <c r="J386" s="15">
        <f>G386*AP386</f>
        <v>0</v>
      </c>
      <c r="K386" s="15">
        <f>G386*H386</f>
        <v>0</v>
      </c>
      <c r="L386" s="27" t="s">
        <v>690</v>
      </c>
      <c r="Z386" s="32">
        <f>IF(AQ386="5",BJ386,0)</f>
        <v>0</v>
      </c>
      <c r="AB386" s="32">
        <f>IF(AQ386="1",BH386,0)</f>
        <v>0</v>
      </c>
      <c r="AC386" s="32">
        <f>IF(AQ386="1",BI386,0)</f>
        <v>0</v>
      </c>
      <c r="AD386" s="32">
        <f>IF(AQ386="7",BH386,0)</f>
        <v>0</v>
      </c>
      <c r="AE386" s="32">
        <f>IF(AQ386="7",BI386,0)</f>
        <v>0</v>
      </c>
      <c r="AF386" s="32">
        <f>IF(AQ386="2",BH386,0)</f>
        <v>0</v>
      </c>
      <c r="AG386" s="32">
        <f>IF(AQ386="2",BI386,0)</f>
        <v>0</v>
      </c>
      <c r="AH386" s="32">
        <f>IF(AQ386="0",BJ386,0)</f>
        <v>0</v>
      </c>
      <c r="AI386" s="28"/>
      <c r="AJ386" s="15">
        <f>IF(AN386=0,K386,0)</f>
        <v>0</v>
      </c>
      <c r="AK386" s="15">
        <f>IF(AN386=15,K386,0)</f>
        <v>0</v>
      </c>
      <c r="AL386" s="15">
        <f>IF(AN386=21,K386,0)</f>
        <v>0</v>
      </c>
      <c r="AN386" s="32">
        <v>21</v>
      </c>
      <c r="AO386" s="32">
        <f>H386*0</f>
        <v>0</v>
      </c>
      <c r="AP386" s="32">
        <f>H386*(1-0)</f>
        <v>0</v>
      </c>
      <c r="AQ386" s="27" t="s">
        <v>11</v>
      </c>
      <c r="AV386" s="32">
        <f>AW386+AX386</f>
        <v>0</v>
      </c>
      <c r="AW386" s="32">
        <f>G386*AO386</f>
        <v>0</v>
      </c>
      <c r="AX386" s="32">
        <f>G386*AP386</f>
        <v>0</v>
      </c>
      <c r="AY386" s="33" t="s">
        <v>730</v>
      </c>
      <c r="AZ386" s="33" t="s">
        <v>738</v>
      </c>
      <c r="BA386" s="28" t="s">
        <v>739</v>
      </c>
      <c r="BC386" s="32">
        <f>AW386+AX386</f>
        <v>0</v>
      </c>
      <c r="BD386" s="32">
        <f>H386/(100-BE386)*100</f>
        <v>0</v>
      </c>
      <c r="BE386" s="32">
        <v>0</v>
      </c>
      <c r="BF386" s="32">
        <f>384</f>
        <v>384</v>
      </c>
      <c r="BH386" s="15">
        <f>G386*AO386</f>
        <v>0</v>
      </c>
      <c r="BI386" s="15">
        <f>G386*AP386</f>
        <v>0</v>
      </c>
      <c r="BJ386" s="15">
        <f>G386*H386</f>
        <v>0</v>
      </c>
    </row>
    <row r="387" spans="1:62" x14ac:dyDescent="0.2">
      <c r="C387" s="58" t="s">
        <v>646</v>
      </c>
      <c r="D387" s="59"/>
      <c r="E387" s="59"/>
      <c r="G387" s="16">
        <v>107.02218000000001</v>
      </c>
    </row>
    <row r="388" spans="1:62" x14ac:dyDescent="0.2">
      <c r="A388" s="4" t="s">
        <v>140</v>
      </c>
      <c r="B388" s="4" t="s">
        <v>294</v>
      </c>
      <c r="C388" s="60" t="s">
        <v>650</v>
      </c>
      <c r="D388" s="61"/>
      <c r="E388" s="61"/>
      <c r="F388" s="4" t="s">
        <v>672</v>
      </c>
      <c r="G388" s="15">
        <v>107.02218000000001</v>
      </c>
      <c r="H388" s="15">
        <v>0</v>
      </c>
      <c r="I388" s="15">
        <f>G388*AO388</f>
        <v>0</v>
      </c>
      <c r="J388" s="15">
        <f>G388*AP388</f>
        <v>0</v>
      </c>
      <c r="K388" s="15">
        <f>G388*H388</f>
        <v>0</v>
      </c>
      <c r="L388" s="27" t="s">
        <v>690</v>
      </c>
      <c r="Z388" s="32">
        <f>IF(AQ388="5",BJ388,0)</f>
        <v>0</v>
      </c>
      <c r="AB388" s="32">
        <f>IF(AQ388="1",BH388,0)</f>
        <v>0</v>
      </c>
      <c r="AC388" s="32">
        <f>IF(AQ388="1",BI388,0)</f>
        <v>0</v>
      </c>
      <c r="AD388" s="32">
        <f>IF(AQ388="7",BH388,0)</f>
        <v>0</v>
      </c>
      <c r="AE388" s="32">
        <f>IF(AQ388="7",BI388,0)</f>
        <v>0</v>
      </c>
      <c r="AF388" s="32">
        <f>IF(AQ388="2",BH388,0)</f>
        <v>0</v>
      </c>
      <c r="AG388" s="32">
        <f>IF(AQ388="2",BI388,0)</f>
        <v>0</v>
      </c>
      <c r="AH388" s="32">
        <f>IF(AQ388="0",BJ388,0)</f>
        <v>0</v>
      </c>
      <c r="AI388" s="28"/>
      <c r="AJ388" s="15">
        <f>IF(AN388=0,K388,0)</f>
        <v>0</v>
      </c>
      <c r="AK388" s="15">
        <f>IF(AN388=15,K388,0)</f>
        <v>0</v>
      </c>
      <c r="AL388" s="15">
        <f>IF(AN388=21,K388,0)</f>
        <v>0</v>
      </c>
      <c r="AN388" s="32">
        <v>21</v>
      </c>
      <c r="AO388" s="32">
        <f>H388*0</f>
        <v>0</v>
      </c>
      <c r="AP388" s="32">
        <f>H388*(1-0)</f>
        <v>0</v>
      </c>
      <c r="AQ388" s="27" t="s">
        <v>11</v>
      </c>
      <c r="AV388" s="32">
        <f>AW388+AX388</f>
        <v>0</v>
      </c>
      <c r="AW388" s="32">
        <f>G388*AO388</f>
        <v>0</v>
      </c>
      <c r="AX388" s="32">
        <f>G388*AP388</f>
        <v>0</v>
      </c>
      <c r="AY388" s="33" t="s">
        <v>730</v>
      </c>
      <c r="AZ388" s="33" t="s">
        <v>738</v>
      </c>
      <c r="BA388" s="28" t="s">
        <v>739</v>
      </c>
      <c r="BC388" s="32">
        <f>AW388+AX388</f>
        <v>0</v>
      </c>
      <c r="BD388" s="32">
        <f>H388/(100-BE388)*100</f>
        <v>0</v>
      </c>
      <c r="BE388" s="32">
        <v>0</v>
      </c>
      <c r="BF388" s="32">
        <f>386</f>
        <v>386</v>
      </c>
      <c r="BH388" s="15">
        <f>G388*AO388</f>
        <v>0</v>
      </c>
      <c r="BI388" s="15">
        <f>G388*AP388</f>
        <v>0</v>
      </c>
      <c r="BJ388" s="15">
        <f>G388*H388</f>
        <v>0</v>
      </c>
    </row>
    <row r="389" spans="1:62" x14ac:dyDescent="0.2">
      <c r="C389" s="58" t="s">
        <v>646</v>
      </c>
      <c r="D389" s="59"/>
      <c r="E389" s="59"/>
      <c r="G389" s="16">
        <v>107.02218000000001</v>
      </c>
    </row>
    <row r="390" spans="1:62" x14ac:dyDescent="0.2">
      <c r="A390" s="4" t="s">
        <v>141</v>
      </c>
      <c r="B390" s="4" t="s">
        <v>295</v>
      </c>
      <c r="C390" s="60" t="s">
        <v>651</v>
      </c>
      <c r="D390" s="61"/>
      <c r="E390" s="61"/>
      <c r="F390" s="4" t="s">
        <v>672</v>
      </c>
      <c r="G390" s="15">
        <v>2033.4214199999999</v>
      </c>
      <c r="H390" s="15">
        <v>0</v>
      </c>
      <c r="I390" s="15">
        <f>G390*AO390</f>
        <v>0</v>
      </c>
      <c r="J390" s="15">
        <f>G390*AP390</f>
        <v>0</v>
      </c>
      <c r="K390" s="15">
        <f>G390*H390</f>
        <v>0</v>
      </c>
      <c r="L390" s="27" t="s">
        <v>690</v>
      </c>
      <c r="Z390" s="32">
        <f>IF(AQ390="5",BJ390,0)</f>
        <v>0</v>
      </c>
      <c r="AB390" s="32">
        <f>IF(AQ390="1",BH390,0)</f>
        <v>0</v>
      </c>
      <c r="AC390" s="32">
        <f>IF(AQ390="1",BI390,0)</f>
        <v>0</v>
      </c>
      <c r="AD390" s="32">
        <f>IF(AQ390="7",BH390,0)</f>
        <v>0</v>
      </c>
      <c r="AE390" s="32">
        <f>IF(AQ390="7",BI390,0)</f>
        <v>0</v>
      </c>
      <c r="AF390" s="32">
        <f>IF(AQ390="2",BH390,0)</f>
        <v>0</v>
      </c>
      <c r="AG390" s="32">
        <f>IF(AQ390="2",BI390,0)</f>
        <v>0</v>
      </c>
      <c r="AH390" s="32">
        <f>IF(AQ390="0",BJ390,0)</f>
        <v>0</v>
      </c>
      <c r="AI390" s="28"/>
      <c r="AJ390" s="15">
        <f>IF(AN390=0,K390,0)</f>
        <v>0</v>
      </c>
      <c r="AK390" s="15">
        <f>IF(AN390=15,K390,0)</f>
        <v>0</v>
      </c>
      <c r="AL390" s="15">
        <f>IF(AN390=21,K390,0)</f>
        <v>0</v>
      </c>
      <c r="AN390" s="32">
        <v>21</v>
      </c>
      <c r="AO390" s="32">
        <f>H390*0</f>
        <v>0</v>
      </c>
      <c r="AP390" s="32">
        <f>H390*(1-0)</f>
        <v>0</v>
      </c>
      <c r="AQ390" s="27" t="s">
        <v>11</v>
      </c>
      <c r="AV390" s="32">
        <f>AW390+AX390</f>
        <v>0</v>
      </c>
      <c r="AW390" s="32">
        <f>G390*AO390</f>
        <v>0</v>
      </c>
      <c r="AX390" s="32">
        <f>G390*AP390</f>
        <v>0</v>
      </c>
      <c r="AY390" s="33" t="s">
        <v>730</v>
      </c>
      <c r="AZ390" s="33" t="s">
        <v>738</v>
      </c>
      <c r="BA390" s="28" t="s">
        <v>739</v>
      </c>
      <c r="BC390" s="32">
        <f>AW390+AX390</f>
        <v>0</v>
      </c>
      <c r="BD390" s="32">
        <f>H390/(100-BE390)*100</f>
        <v>0</v>
      </c>
      <c r="BE390" s="32">
        <v>0</v>
      </c>
      <c r="BF390" s="32">
        <f>388</f>
        <v>388</v>
      </c>
      <c r="BH390" s="15">
        <f>G390*AO390</f>
        <v>0</v>
      </c>
      <c r="BI390" s="15">
        <f>G390*AP390</f>
        <v>0</v>
      </c>
      <c r="BJ390" s="15">
        <f>G390*H390</f>
        <v>0</v>
      </c>
    </row>
    <row r="391" spans="1:62" x14ac:dyDescent="0.2">
      <c r="C391" s="58" t="s">
        <v>652</v>
      </c>
      <c r="D391" s="59"/>
      <c r="E391" s="59"/>
      <c r="G391" s="16">
        <v>2033.4214199999999</v>
      </c>
    </row>
    <row r="392" spans="1:62" x14ac:dyDescent="0.2">
      <c r="A392" s="4" t="s">
        <v>142</v>
      </c>
      <c r="B392" s="4" t="s">
        <v>296</v>
      </c>
      <c r="C392" s="60" t="s">
        <v>653</v>
      </c>
      <c r="D392" s="61"/>
      <c r="E392" s="61"/>
      <c r="F392" s="4" t="s">
        <v>672</v>
      </c>
      <c r="G392" s="15">
        <v>17.84</v>
      </c>
      <c r="H392" s="15">
        <v>0</v>
      </c>
      <c r="I392" s="15">
        <f>G392*AO392</f>
        <v>0</v>
      </c>
      <c r="J392" s="15">
        <f>G392*AP392</f>
        <v>0</v>
      </c>
      <c r="K392" s="15">
        <f>G392*H392</f>
        <v>0</v>
      </c>
      <c r="L392" s="27" t="s">
        <v>690</v>
      </c>
      <c r="Z392" s="32">
        <f>IF(AQ392="5",BJ392,0)</f>
        <v>0</v>
      </c>
      <c r="AB392" s="32">
        <f>IF(AQ392="1",BH392,0)</f>
        <v>0</v>
      </c>
      <c r="AC392" s="32">
        <f>IF(AQ392="1",BI392,0)</f>
        <v>0</v>
      </c>
      <c r="AD392" s="32">
        <f>IF(AQ392="7",BH392,0)</f>
        <v>0</v>
      </c>
      <c r="AE392" s="32">
        <f>IF(AQ392="7",BI392,0)</f>
        <v>0</v>
      </c>
      <c r="AF392" s="32">
        <f>IF(AQ392="2",BH392,0)</f>
        <v>0</v>
      </c>
      <c r="AG392" s="32">
        <f>IF(AQ392="2",BI392,0)</f>
        <v>0</v>
      </c>
      <c r="AH392" s="32">
        <f>IF(AQ392="0",BJ392,0)</f>
        <v>0</v>
      </c>
      <c r="AI392" s="28"/>
      <c r="AJ392" s="15">
        <f>IF(AN392=0,K392,0)</f>
        <v>0</v>
      </c>
      <c r="AK392" s="15">
        <f>IF(AN392=15,K392,0)</f>
        <v>0</v>
      </c>
      <c r="AL392" s="15">
        <f>IF(AN392=21,K392,0)</f>
        <v>0</v>
      </c>
      <c r="AN392" s="32">
        <v>21</v>
      </c>
      <c r="AO392" s="32">
        <f>H392*0</f>
        <v>0</v>
      </c>
      <c r="AP392" s="32">
        <f>H392*(1-0)</f>
        <v>0</v>
      </c>
      <c r="AQ392" s="27" t="s">
        <v>11</v>
      </c>
      <c r="AV392" s="32">
        <f>AW392+AX392</f>
        <v>0</v>
      </c>
      <c r="AW392" s="32">
        <f>G392*AO392</f>
        <v>0</v>
      </c>
      <c r="AX392" s="32">
        <f>G392*AP392</f>
        <v>0</v>
      </c>
      <c r="AY392" s="33" t="s">
        <v>730</v>
      </c>
      <c r="AZ392" s="33" t="s">
        <v>738</v>
      </c>
      <c r="BA392" s="28" t="s">
        <v>739</v>
      </c>
      <c r="BC392" s="32">
        <f>AW392+AX392</f>
        <v>0</v>
      </c>
      <c r="BD392" s="32">
        <f>H392/(100-BE392)*100</f>
        <v>0</v>
      </c>
      <c r="BE392" s="32">
        <v>0</v>
      </c>
      <c r="BF392" s="32">
        <f>390</f>
        <v>390</v>
      </c>
      <c r="BH392" s="15">
        <f>G392*AO392</f>
        <v>0</v>
      </c>
      <c r="BI392" s="15">
        <f>G392*AP392</f>
        <v>0</v>
      </c>
      <c r="BJ392" s="15">
        <f>G392*H392</f>
        <v>0</v>
      </c>
    </row>
    <row r="393" spans="1:62" x14ac:dyDescent="0.2">
      <c r="C393" s="58" t="s">
        <v>654</v>
      </c>
      <c r="D393" s="59"/>
      <c r="E393" s="59"/>
      <c r="G393" s="16">
        <v>17.84</v>
      </c>
    </row>
    <row r="394" spans="1:62" x14ac:dyDescent="0.2">
      <c r="A394" s="4" t="s">
        <v>143</v>
      </c>
      <c r="B394" s="4" t="s">
        <v>297</v>
      </c>
      <c r="C394" s="60" t="s">
        <v>655</v>
      </c>
      <c r="D394" s="61"/>
      <c r="E394" s="61"/>
      <c r="F394" s="4" t="s">
        <v>672</v>
      </c>
      <c r="G394" s="15">
        <v>31.59</v>
      </c>
      <c r="H394" s="15">
        <v>0</v>
      </c>
      <c r="I394" s="15">
        <f>G394*AO394</f>
        <v>0</v>
      </c>
      <c r="J394" s="15">
        <f>G394*AP394</f>
        <v>0</v>
      </c>
      <c r="K394" s="15">
        <f>G394*H394</f>
        <v>0</v>
      </c>
      <c r="L394" s="27" t="s">
        <v>691</v>
      </c>
      <c r="Z394" s="32">
        <f>IF(AQ394="5",BJ394,0)</f>
        <v>0</v>
      </c>
      <c r="AB394" s="32">
        <f>IF(AQ394="1",BH394,0)</f>
        <v>0</v>
      </c>
      <c r="AC394" s="32">
        <f>IF(AQ394="1",BI394,0)</f>
        <v>0</v>
      </c>
      <c r="AD394" s="32">
        <f>IF(AQ394="7",BH394,0)</f>
        <v>0</v>
      </c>
      <c r="AE394" s="32">
        <f>IF(AQ394="7",BI394,0)</f>
        <v>0</v>
      </c>
      <c r="AF394" s="32">
        <f>IF(AQ394="2",BH394,0)</f>
        <v>0</v>
      </c>
      <c r="AG394" s="32">
        <f>IF(AQ394="2",BI394,0)</f>
        <v>0</v>
      </c>
      <c r="AH394" s="32">
        <f>IF(AQ394="0",BJ394,0)</f>
        <v>0</v>
      </c>
      <c r="AI394" s="28"/>
      <c r="AJ394" s="15">
        <f>IF(AN394=0,K394,0)</f>
        <v>0</v>
      </c>
      <c r="AK394" s="15">
        <f>IF(AN394=15,K394,0)</f>
        <v>0</v>
      </c>
      <c r="AL394" s="15">
        <f>IF(AN394=21,K394,0)</f>
        <v>0</v>
      </c>
      <c r="AN394" s="32">
        <v>21</v>
      </c>
      <c r="AO394" s="32">
        <f>H394*0</f>
        <v>0</v>
      </c>
      <c r="AP394" s="32">
        <f>H394*(1-0)</f>
        <v>0</v>
      </c>
      <c r="AQ394" s="27" t="s">
        <v>11</v>
      </c>
      <c r="AV394" s="32">
        <f>AW394+AX394</f>
        <v>0</v>
      </c>
      <c r="AW394" s="32">
        <f>G394*AO394</f>
        <v>0</v>
      </c>
      <c r="AX394" s="32">
        <f>G394*AP394</f>
        <v>0</v>
      </c>
      <c r="AY394" s="33" t="s">
        <v>730</v>
      </c>
      <c r="AZ394" s="33" t="s">
        <v>738</v>
      </c>
      <c r="BA394" s="28" t="s">
        <v>739</v>
      </c>
      <c r="BC394" s="32">
        <f>AW394+AX394</f>
        <v>0</v>
      </c>
      <c r="BD394" s="32">
        <f>H394/(100-BE394)*100</f>
        <v>0</v>
      </c>
      <c r="BE394" s="32">
        <v>0</v>
      </c>
      <c r="BF394" s="32">
        <f>392</f>
        <v>392</v>
      </c>
      <c r="BH394" s="15">
        <f>G394*AO394</f>
        <v>0</v>
      </c>
      <c r="BI394" s="15">
        <f>G394*AP394</f>
        <v>0</v>
      </c>
      <c r="BJ394" s="15">
        <f>G394*H394</f>
        <v>0</v>
      </c>
    </row>
    <row r="395" spans="1:62" x14ac:dyDescent="0.2">
      <c r="C395" s="58" t="s">
        <v>656</v>
      </c>
      <c r="D395" s="59"/>
      <c r="E395" s="59"/>
      <c r="G395" s="16">
        <v>31.59</v>
      </c>
    </row>
    <row r="396" spans="1:62" x14ac:dyDescent="0.2">
      <c r="A396" s="4" t="s">
        <v>144</v>
      </c>
      <c r="B396" s="4" t="s">
        <v>298</v>
      </c>
      <c r="C396" s="60" t="s">
        <v>657</v>
      </c>
      <c r="D396" s="61"/>
      <c r="E396" s="61"/>
      <c r="F396" s="4" t="s">
        <v>672</v>
      </c>
      <c r="G396" s="15">
        <v>14.742000000000001</v>
      </c>
      <c r="H396" s="15">
        <v>0</v>
      </c>
      <c r="I396" s="15">
        <f>G396*AO396</f>
        <v>0</v>
      </c>
      <c r="J396" s="15">
        <f>G396*AP396</f>
        <v>0</v>
      </c>
      <c r="K396" s="15">
        <f>G396*H396</f>
        <v>0</v>
      </c>
      <c r="L396" s="27" t="s">
        <v>690</v>
      </c>
      <c r="Z396" s="32">
        <f>IF(AQ396="5",BJ396,0)</f>
        <v>0</v>
      </c>
      <c r="AB396" s="32">
        <f>IF(AQ396="1",BH396,0)</f>
        <v>0</v>
      </c>
      <c r="AC396" s="32">
        <f>IF(AQ396="1",BI396,0)</f>
        <v>0</v>
      </c>
      <c r="AD396" s="32">
        <f>IF(AQ396="7",BH396,0)</f>
        <v>0</v>
      </c>
      <c r="AE396" s="32">
        <f>IF(AQ396="7",BI396,0)</f>
        <v>0</v>
      </c>
      <c r="AF396" s="32">
        <f>IF(AQ396="2",BH396,0)</f>
        <v>0</v>
      </c>
      <c r="AG396" s="32">
        <f>IF(AQ396="2",BI396,0)</f>
        <v>0</v>
      </c>
      <c r="AH396" s="32">
        <f>IF(AQ396="0",BJ396,0)</f>
        <v>0</v>
      </c>
      <c r="AI396" s="28"/>
      <c r="AJ396" s="15">
        <f>IF(AN396=0,K396,0)</f>
        <v>0</v>
      </c>
      <c r="AK396" s="15">
        <f>IF(AN396=15,K396,0)</f>
        <v>0</v>
      </c>
      <c r="AL396" s="15">
        <f>IF(AN396=21,K396,0)</f>
        <v>0</v>
      </c>
      <c r="AN396" s="32">
        <v>21</v>
      </c>
      <c r="AO396" s="32">
        <f>H396*0</f>
        <v>0</v>
      </c>
      <c r="AP396" s="32">
        <f>H396*(1-0)</f>
        <v>0</v>
      </c>
      <c r="AQ396" s="27" t="s">
        <v>11</v>
      </c>
      <c r="AV396" s="32">
        <f>AW396+AX396</f>
        <v>0</v>
      </c>
      <c r="AW396" s="32">
        <f>G396*AO396</f>
        <v>0</v>
      </c>
      <c r="AX396" s="32">
        <f>G396*AP396</f>
        <v>0</v>
      </c>
      <c r="AY396" s="33" t="s">
        <v>730</v>
      </c>
      <c r="AZ396" s="33" t="s">
        <v>738</v>
      </c>
      <c r="BA396" s="28" t="s">
        <v>739</v>
      </c>
      <c r="BC396" s="32">
        <f>AW396+AX396</f>
        <v>0</v>
      </c>
      <c r="BD396" s="32">
        <f>H396/(100-BE396)*100</f>
        <v>0</v>
      </c>
      <c r="BE396" s="32">
        <v>0</v>
      </c>
      <c r="BF396" s="32">
        <f>394</f>
        <v>394</v>
      </c>
      <c r="BH396" s="15">
        <f>G396*AO396</f>
        <v>0</v>
      </c>
      <c r="BI396" s="15">
        <f>G396*AP396</f>
        <v>0</v>
      </c>
      <c r="BJ396" s="15">
        <f>G396*H396</f>
        <v>0</v>
      </c>
    </row>
    <row r="397" spans="1:62" x14ac:dyDescent="0.2">
      <c r="C397" s="58" t="s">
        <v>658</v>
      </c>
      <c r="D397" s="59"/>
      <c r="E397" s="59"/>
      <c r="G397" s="16">
        <v>14.742000000000001</v>
      </c>
    </row>
    <row r="398" spans="1:62" x14ac:dyDescent="0.2">
      <c r="A398" s="4" t="s">
        <v>145</v>
      </c>
      <c r="B398" s="4" t="s">
        <v>299</v>
      </c>
      <c r="C398" s="60" t="s">
        <v>659</v>
      </c>
      <c r="D398" s="61"/>
      <c r="E398" s="61"/>
      <c r="F398" s="4" t="s">
        <v>672</v>
      </c>
      <c r="G398" s="15">
        <v>42.850180000000002</v>
      </c>
      <c r="H398" s="15">
        <v>0</v>
      </c>
      <c r="I398" s="15">
        <f>G398*AO398</f>
        <v>0</v>
      </c>
      <c r="J398" s="15">
        <f>G398*AP398</f>
        <v>0</v>
      </c>
      <c r="K398" s="15">
        <f>G398*H398</f>
        <v>0</v>
      </c>
      <c r="L398" s="27" t="s">
        <v>690</v>
      </c>
      <c r="Z398" s="32">
        <f>IF(AQ398="5",BJ398,0)</f>
        <v>0</v>
      </c>
      <c r="AB398" s="32">
        <f>IF(AQ398="1",BH398,0)</f>
        <v>0</v>
      </c>
      <c r="AC398" s="32">
        <f>IF(AQ398="1",BI398,0)</f>
        <v>0</v>
      </c>
      <c r="AD398" s="32">
        <f>IF(AQ398="7",BH398,0)</f>
        <v>0</v>
      </c>
      <c r="AE398" s="32">
        <f>IF(AQ398="7",BI398,0)</f>
        <v>0</v>
      </c>
      <c r="AF398" s="32">
        <f>IF(AQ398="2",BH398,0)</f>
        <v>0</v>
      </c>
      <c r="AG398" s="32">
        <f>IF(AQ398="2",BI398,0)</f>
        <v>0</v>
      </c>
      <c r="AH398" s="32">
        <f>IF(AQ398="0",BJ398,0)</f>
        <v>0</v>
      </c>
      <c r="AI398" s="28"/>
      <c r="AJ398" s="15">
        <f>IF(AN398=0,K398,0)</f>
        <v>0</v>
      </c>
      <c r="AK398" s="15">
        <f>IF(AN398=15,K398,0)</f>
        <v>0</v>
      </c>
      <c r="AL398" s="15">
        <f>IF(AN398=21,K398,0)</f>
        <v>0</v>
      </c>
      <c r="AN398" s="32">
        <v>21</v>
      </c>
      <c r="AO398" s="32">
        <f>H398*0</f>
        <v>0</v>
      </c>
      <c r="AP398" s="32">
        <f>H398*(1-0)</f>
        <v>0</v>
      </c>
      <c r="AQ398" s="27" t="s">
        <v>11</v>
      </c>
      <c r="AV398" s="32">
        <f>AW398+AX398</f>
        <v>0</v>
      </c>
      <c r="AW398" s="32">
        <f>G398*AO398</f>
        <v>0</v>
      </c>
      <c r="AX398" s="32">
        <f>G398*AP398</f>
        <v>0</v>
      </c>
      <c r="AY398" s="33" t="s">
        <v>730</v>
      </c>
      <c r="AZ398" s="33" t="s">
        <v>738</v>
      </c>
      <c r="BA398" s="28" t="s">
        <v>739</v>
      </c>
      <c r="BC398" s="32">
        <f>AW398+AX398</f>
        <v>0</v>
      </c>
      <c r="BD398" s="32">
        <f>H398/(100-BE398)*100</f>
        <v>0</v>
      </c>
      <c r="BE398" s="32">
        <v>0</v>
      </c>
      <c r="BF398" s="32">
        <f>396</f>
        <v>396</v>
      </c>
      <c r="BH398" s="15">
        <f>G398*AO398</f>
        <v>0</v>
      </c>
      <c r="BI398" s="15">
        <f>G398*AP398</f>
        <v>0</v>
      </c>
      <c r="BJ398" s="15">
        <f>G398*H398</f>
        <v>0</v>
      </c>
    </row>
    <row r="399" spans="1:62" x14ac:dyDescent="0.2">
      <c r="A399" s="7"/>
      <c r="B399" s="7"/>
      <c r="C399" s="62" t="s">
        <v>660</v>
      </c>
      <c r="D399" s="63"/>
      <c r="E399" s="63"/>
      <c r="F399" s="7"/>
      <c r="G399" s="18">
        <v>42.850180000000002</v>
      </c>
      <c r="H399" s="7"/>
      <c r="I399" s="7"/>
      <c r="J399" s="7"/>
      <c r="K399" s="7"/>
      <c r="L399" s="7"/>
    </row>
    <row r="400" spans="1:62" x14ac:dyDescent="0.2">
      <c r="A400" s="8"/>
      <c r="B400" s="8"/>
      <c r="C400" s="8"/>
      <c r="D400" s="8"/>
      <c r="E400" s="8"/>
      <c r="F400" s="8"/>
      <c r="G400" s="8"/>
      <c r="H400" s="8"/>
      <c r="I400" s="64" t="s">
        <v>685</v>
      </c>
      <c r="J400" s="65"/>
      <c r="K400" s="36">
        <f>K12+K15+K18+K24+K32+K35+K37+K40+K49+K52+K57+K123+K127+K161+K173+K176+K189+K199+K206+K221+K224+K251+K258+K267+K271+K290+K306+K345+K373+K376+K379</f>
        <v>0</v>
      </c>
      <c r="L400" s="8"/>
    </row>
    <row r="401" spans="1:12" ht="11.25" customHeight="1" x14ac:dyDescent="0.2">
      <c r="A401" s="9" t="s">
        <v>146</v>
      </c>
    </row>
    <row r="402" spans="1:12" x14ac:dyDescent="0.2">
      <c r="A402" s="56"/>
      <c r="B402" s="57"/>
      <c r="C402" s="57"/>
      <c r="D402" s="57"/>
      <c r="E402" s="57"/>
      <c r="F402" s="57"/>
      <c r="G402" s="57"/>
      <c r="H402" s="57"/>
      <c r="I402" s="57"/>
      <c r="J402" s="57"/>
      <c r="K402" s="57"/>
      <c r="L402" s="57"/>
    </row>
  </sheetData>
  <mergeCells count="418">
    <mergeCell ref="A1:L1"/>
    <mergeCell ref="A2:B3"/>
    <mergeCell ref="C2:C3"/>
    <mergeCell ref="D2:E3"/>
    <mergeCell ref="F2:G3"/>
    <mergeCell ref="H2:H3"/>
    <mergeCell ref="I2:L3"/>
    <mergeCell ref="A6:B7"/>
    <mergeCell ref="C6:C7"/>
    <mergeCell ref="D6:E7"/>
    <mergeCell ref="F6:G7"/>
    <mergeCell ref="H6:H7"/>
    <mergeCell ref="I6:L7"/>
    <mergeCell ref="A4:B5"/>
    <mergeCell ref="C4:C5"/>
    <mergeCell ref="D4:E5"/>
    <mergeCell ref="F4:G5"/>
    <mergeCell ref="H4:H5"/>
    <mergeCell ref="I4:L5"/>
    <mergeCell ref="C10:E10"/>
    <mergeCell ref="I10:K10"/>
    <mergeCell ref="C11:E11"/>
    <mergeCell ref="C12:E12"/>
    <mergeCell ref="C13:E13"/>
    <mergeCell ref="C14:E14"/>
    <mergeCell ref="A8:B9"/>
    <mergeCell ref="C8:C9"/>
    <mergeCell ref="D8:E9"/>
    <mergeCell ref="F8:G9"/>
    <mergeCell ref="H8:H9"/>
    <mergeCell ref="I8:L9"/>
    <mergeCell ref="C21:E21"/>
    <mergeCell ref="C22:E22"/>
    <mergeCell ref="C23:E23"/>
    <mergeCell ref="C24:E24"/>
    <mergeCell ref="C25:E25"/>
    <mergeCell ref="C26:E26"/>
    <mergeCell ref="C15:E15"/>
    <mergeCell ref="C16:E16"/>
    <mergeCell ref="C17:E17"/>
    <mergeCell ref="C18:E18"/>
    <mergeCell ref="C19:E19"/>
    <mergeCell ref="C20:E20"/>
    <mergeCell ref="C33:E33"/>
    <mergeCell ref="C34:E34"/>
    <mergeCell ref="C37:E37"/>
    <mergeCell ref="C38:E38"/>
    <mergeCell ref="C39:E39"/>
    <mergeCell ref="C40:E40"/>
    <mergeCell ref="C27:E27"/>
    <mergeCell ref="C28:E28"/>
    <mergeCell ref="C29:E29"/>
    <mergeCell ref="C30:E30"/>
    <mergeCell ref="C31:E31"/>
    <mergeCell ref="C32:E32"/>
    <mergeCell ref="C35:E35"/>
    <mergeCell ref="C36:E36"/>
    <mergeCell ref="C47:E47"/>
    <mergeCell ref="C48:E48"/>
    <mergeCell ref="C49:E49"/>
    <mergeCell ref="C50:E50"/>
    <mergeCell ref="C51:E51"/>
    <mergeCell ref="C52:E52"/>
    <mergeCell ref="C41:E41"/>
    <mergeCell ref="C42:E42"/>
    <mergeCell ref="C43:E43"/>
    <mergeCell ref="C44:E44"/>
    <mergeCell ref="C45:E45"/>
    <mergeCell ref="C46:E46"/>
    <mergeCell ref="C59:E59"/>
    <mergeCell ref="C60:E60"/>
    <mergeCell ref="C61:E61"/>
    <mergeCell ref="C62:E62"/>
    <mergeCell ref="C63:E63"/>
    <mergeCell ref="C64:E64"/>
    <mergeCell ref="C53:E53"/>
    <mergeCell ref="C54:E54"/>
    <mergeCell ref="C55:E55"/>
    <mergeCell ref="C56:E56"/>
    <mergeCell ref="C57:E57"/>
    <mergeCell ref="C58:E58"/>
    <mergeCell ref="C71:E71"/>
    <mergeCell ref="C72:E72"/>
    <mergeCell ref="C73:E73"/>
    <mergeCell ref="C74:E74"/>
    <mergeCell ref="C75:E75"/>
    <mergeCell ref="C76:E76"/>
    <mergeCell ref="C65:E65"/>
    <mergeCell ref="C66:E66"/>
    <mergeCell ref="C67:E67"/>
    <mergeCell ref="C68:E68"/>
    <mergeCell ref="C69:E69"/>
    <mergeCell ref="C70:E70"/>
    <mergeCell ref="C83:E83"/>
    <mergeCell ref="C84:E84"/>
    <mergeCell ref="C85:E85"/>
    <mergeCell ref="C86:E86"/>
    <mergeCell ref="C87:E87"/>
    <mergeCell ref="C88:E88"/>
    <mergeCell ref="C77:E77"/>
    <mergeCell ref="C78:E78"/>
    <mergeCell ref="C79:E79"/>
    <mergeCell ref="C80:E80"/>
    <mergeCell ref="C81:E81"/>
    <mergeCell ref="C82:E82"/>
    <mergeCell ref="C95:E95"/>
    <mergeCell ref="C96:E96"/>
    <mergeCell ref="C97:E97"/>
    <mergeCell ref="C98:E98"/>
    <mergeCell ref="C99:E99"/>
    <mergeCell ref="C100:E100"/>
    <mergeCell ref="C89:E89"/>
    <mergeCell ref="C90:E90"/>
    <mergeCell ref="C91:E91"/>
    <mergeCell ref="C92:E92"/>
    <mergeCell ref="C93:E93"/>
    <mergeCell ref="C94:E94"/>
    <mergeCell ref="C107:E107"/>
    <mergeCell ref="C108:E108"/>
    <mergeCell ref="C109:E109"/>
    <mergeCell ref="C110:E110"/>
    <mergeCell ref="C111:E111"/>
    <mergeCell ref="C112:E112"/>
    <mergeCell ref="C101:E101"/>
    <mergeCell ref="C102:E102"/>
    <mergeCell ref="C103:E103"/>
    <mergeCell ref="C104:E104"/>
    <mergeCell ref="C105:E105"/>
    <mergeCell ref="C106:E106"/>
    <mergeCell ref="C119:E119"/>
    <mergeCell ref="C120:E120"/>
    <mergeCell ref="C121:E121"/>
    <mergeCell ref="C122:E122"/>
    <mergeCell ref="C123:E123"/>
    <mergeCell ref="C124:E124"/>
    <mergeCell ref="C113:E113"/>
    <mergeCell ref="C114:E114"/>
    <mergeCell ref="C115:E115"/>
    <mergeCell ref="C116:E116"/>
    <mergeCell ref="C117:E117"/>
    <mergeCell ref="C118:E118"/>
    <mergeCell ref="C131:E131"/>
    <mergeCell ref="C132:E132"/>
    <mergeCell ref="C133:E133"/>
    <mergeCell ref="C134:E134"/>
    <mergeCell ref="C135:E135"/>
    <mergeCell ref="C136:E136"/>
    <mergeCell ref="C125:E125"/>
    <mergeCell ref="C126:E126"/>
    <mergeCell ref="C127:E127"/>
    <mergeCell ref="C128:E128"/>
    <mergeCell ref="C129:E129"/>
    <mergeCell ref="C130:E130"/>
    <mergeCell ref="C143:E143"/>
    <mergeCell ref="C144:E144"/>
    <mergeCell ref="C145:E145"/>
    <mergeCell ref="C146:E146"/>
    <mergeCell ref="C147:E147"/>
    <mergeCell ref="C148:E148"/>
    <mergeCell ref="C137:E137"/>
    <mergeCell ref="C138:E138"/>
    <mergeCell ref="C139:E139"/>
    <mergeCell ref="C140:E140"/>
    <mergeCell ref="C141:E141"/>
    <mergeCell ref="C142:E142"/>
    <mergeCell ref="C155:E155"/>
    <mergeCell ref="C156:E156"/>
    <mergeCell ref="C157:E157"/>
    <mergeCell ref="C158:E158"/>
    <mergeCell ref="C159:E159"/>
    <mergeCell ref="C160:E160"/>
    <mergeCell ref="C149:E149"/>
    <mergeCell ref="C150:E150"/>
    <mergeCell ref="C151:E151"/>
    <mergeCell ref="C152:E152"/>
    <mergeCell ref="C153:E153"/>
    <mergeCell ref="C154:E154"/>
    <mergeCell ref="C167:E167"/>
    <mergeCell ref="C168:E168"/>
    <mergeCell ref="C169:E169"/>
    <mergeCell ref="C170:E170"/>
    <mergeCell ref="C171:E171"/>
    <mergeCell ref="C172:E172"/>
    <mergeCell ref="C161:E161"/>
    <mergeCell ref="C162:E162"/>
    <mergeCell ref="C163:E163"/>
    <mergeCell ref="C164:E164"/>
    <mergeCell ref="C165:E165"/>
    <mergeCell ref="C166:E166"/>
    <mergeCell ref="C179:E179"/>
    <mergeCell ref="C180:E180"/>
    <mergeCell ref="C181:E181"/>
    <mergeCell ref="C182:E182"/>
    <mergeCell ref="C183:E183"/>
    <mergeCell ref="C184:E184"/>
    <mergeCell ref="C173:E173"/>
    <mergeCell ref="C174:E174"/>
    <mergeCell ref="C175:E175"/>
    <mergeCell ref="C176:E176"/>
    <mergeCell ref="C177:E177"/>
    <mergeCell ref="C178:E178"/>
    <mergeCell ref="C191:E191"/>
    <mergeCell ref="C192:E192"/>
    <mergeCell ref="C193:E193"/>
    <mergeCell ref="C194:E194"/>
    <mergeCell ref="C195:E195"/>
    <mergeCell ref="C196:E196"/>
    <mergeCell ref="C185:E185"/>
    <mergeCell ref="C186:E186"/>
    <mergeCell ref="C187:E187"/>
    <mergeCell ref="C188:E188"/>
    <mergeCell ref="C189:E189"/>
    <mergeCell ref="C190:E190"/>
    <mergeCell ref="C203:E203"/>
    <mergeCell ref="C204:E204"/>
    <mergeCell ref="C205:E205"/>
    <mergeCell ref="C206:E206"/>
    <mergeCell ref="C207:E207"/>
    <mergeCell ref="C208:E208"/>
    <mergeCell ref="C197:E197"/>
    <mergeCell ref="C198:E198"/>
    <mergeCell ref="C199:E199"/>
    <mergeCell ref="C200:E200"/>
    <mergeCell ref="C201:E201"/>
    <mergeCell ref="C202:E202"/>
    <mergeCell ref="C215:E215"/>
    <mergeCell ref="C216:E216"/>
    <mergeCell ref="C217:E217"/>
    <mergeCell ref="C218:E218"/>
    <mergeCell ref="C219:E219"/>
    <mergeCell ref="C220:E220"/>
    <mergeCell ref="C209:E209"/>
    <mergeCell ref="C210:E210"/>
    <mergeCell ref="C211:E211"/>
    <mergeCell ref="C212:E212"/>
    <mergeCell ref="C213:E213"/>
    <mergeCell ref="C214:E214"/>
    <mergeCell ref="C227:E227"/>
    <mergeCell ref="C228:E228"/>
    <mergeCell ref="C229:E229"/>
    <mergeCell ref="C230:E230"/>
    <mergeCell ref="C231:E231"/>
    <mergeCell ref="C232:E232"/>
    <mergeCell ref="C221:E221"/>
    <mergeCell ref="C222:E222"/>
    <mergeCell ref="C223:E223"/>
    <mergeCell ref="C224:E224"/>
    <mergeCell ref="C225:E225"/>
    <mergeCell ref="C226:E226"/>
    <mergeCell ref="C239:E239"/>
    <mergeCell ref="C240:E240"/>
    <mergeCell ref="C241:E241"/>
    <mergeCell ref="C242:E242"/>
    <mergeCell ref="C243:E243"/>
    <mergeCell ref="C244:E244"/>
    <mergeCell ref="C233:E233"/>
    <mergeCell ref="C234:E234"/>
    <mergeCell ref="C235:E235"/>
    <mergeCell ref="C236:E236"/>
    <mergeCell ref="C237:E237"/>
    <mergeCell ref="C238:E238"/>
    <mergeCell ref="C251:E251"/>
    <mergeCell ref="C252:E252"/>
    <mergeCell ref="C253:E253"/>
    <mergeCell ref="C254:E254"/>
    <mergeCell ref="C255:E255"/>
    <mergeCell ref="C256:E256"/>
    <mergeCell ref="C245:E245"/>
    <mergeCell ref="C246:E246"/>
    <mergeCell ref="C247:E247"/>
    <mergeCell ref="C248:E248"/>
    <mergeCell ref="C249:E249"/>
    <mergeCell ref="C250:E250"/>
    <mergeCell ref="C263:E263"/>
    <mergeCell ref="C264:E264"/>
    <mergeCell ref="C265:E265"/>
    <mergeCell ref="C266:E266"/>
    <mergeCell ref="C267:E267"/>
    <mergeCell ref="C268:E268"/>
    <mergeCell ref="C257:E257"/>
    <mergeCell ref="C258:E258"/>
    <mergeCell ref="C259:E259"/>
    <mergeCell ref="C260:E260"/>
    <mergeCell ref="C261:E261"/>
    <mergeCell ref="C262:E262"/>
    <mergeCell ref="C275:E275"/>
    <mergeCell ref="C276:E276"/>
    <mergeCell ref="C277:E277"/>
    <mergeCell ref="C278:E278"/>
    <mergeCell ref="C279:E279"/>
    <mergeCell ref="C280:E280"/>
    <mergeCell ref="C269:E269"/>
    <mergeCell ref="C270:E270"/>
    <mergeCell ref="C271:E271"/>
    <mergeCell ref="C272:E272"/>
    <mergeCell ref="C273:E273"/>
    <mergeCell ref="C274:E274"/>
    <mergeCell ref="C287:E287"/>
    <mergeCell ref="C288:E288"/>
    <mergeCell ref="C289:E289"/>
    <mergeCell ref="C290:E290"/>
    <mergeCell ref="C291:E291"/>
    <mergeCell ref="C292:E292"/>
    <mergeCell ref="C281:E281"/>
    <mergeCell ref="C282:E282"/>
    <mergeCell ref="C283:E283"/>
    <mergeCell ref="C284:E284"/>
    <mergeCell ref="C285:E285"/>
    <mergeCell ref="C286:E286"/>
    <mergeCell ref="C299:E299"/>
    <mergeCell ref="C300:E300"/>
    <mergeCell ref="C301:E301"/>
    <mergeCell ref="C302:E302"/>
    <mergeCell ref="C303:E303"/>
    <mergeCell ref="C304:E304"/>
    <mergeCell ref="C293:E293"/>
    <mergeCell ref="C294:E294"/>
    <mergeCell ref="C295:E295"/>
    <mergeCell ref="C296:E296"/>
    <mergeCell ref="C297:E297"/>
    <mergeCell ref="C298:E298"/>
    <mergeCell ref="C311:E311"/>
    <mergeCell ref="C312:E312"/>
    <mergeCell ref="C313:E313"/>
    <mergeCell ref="C314:E314"/>
    <mergeCell ref="C315:E315"/>
    <mergeCell ref="C316:E316"/>
    <mergeCell ref="C305:E305"/>
    <mergeCell ref="C306:E306"/>
    <mergeCell ref="C307:E307"/>
    <mergeCell ref="C308:E308"/>
    <mergeCell ref="C309:E309"/>
    <mergeCell ref="C310:E310"/>
    <mergeCell ref="C323:E323"/>
    <mergeCell ref="C324:E324"/>
    <mergeCell ref="C325:E325"/>
    <mergeCell ref="C326:E326"/>
    <mergeCell ref="C327:E327"/>
    <mergeCell ref="C328:E328"/>
    <mergeCell ref="C317:E317"/>
    <mergeCell ref="C318:E318"/>
    <mergeCell ref="C319:E319"/>
    <mergeCell ref="C320:E320"/>
    <mergeCell ref="C321:E321"/>
    <mergeCell ref="C322:E322"/>
    <mergeCell ref="C335:E335"/>
    <mergeCell ref="C336:E336"/>
    <mergeCell ref="C337:E337"/>
    <mergeCell ref="C338:E338"/>
    <mergeCell ref="C339:E339"/>
    <mergeCell ref="C340:E340"/>
    <mergeCell ref="C329:E329"/>
    <mergeCell ref="C330:E330"/>
    <mergeCell ref="C331:E331"/>
    <mergeCell ref="C332:E332"/>
    <mergeCell ref="C333:E333"/>
    <mergeCell ref="C334:E334"/>
    <mergeCell ref="C347:E347"/>
    <mergeCell ref="C348:E348"/>
    <mergeCell ref="C349:E349"/>
    <mergeCell ref="C350:E350"/>
    <mergeCell ref="C351:E351"/>
    <mergeCell ref="C352:E352"/>
    <mergeCell ref="C341:E341"/>
    <mergeCell ref="C342:E342"/>
    <mergeCell ref="C343:E343"/>
    <mergeCell ref="C344:E344"/>
    <mergeCell ref="C345:E345"/>
    <mergeCell ref="C346:E346"/>
    <mergeCell ref="C359:E359"/>
    <mergeCell ref="C360:E360"/>
    <mergeCell ref="C361:E361"/>
    <mergeCell ref="C362:E362"/>
    <mergeCell ref="C363:E363"/>
    <mergeCell ref="C364:E364"/>
    <mergeCell ref="C353:E353"/>
    <mergeCell ref="C354:E354"/>
    <mergeCell ref="C355:E355"/>
    <mergeCell ref="C356:E356"/>
    <mergeCell ref="C357:E357"/>
    <mergeCell ref="C358:E358"/>
    <mergeCell ref="C371:E371"/>
    <mergeCell ref="C372:E372"/>
    <mergeCell ref="C373:E373"/>
    <mergeCell ref="C374:E374"/>
    <mergeCell ref="C375:E375"/>
    <mergeCell ref="C376:E376"/>
    <mergeCell ref="C365:E365"/>
    <mergeCell ref="C366:E366"/>
    <mergeCell ref="C367:E367"/>
    <mergeCell ref="C368:E368"/>
    <mergeCell ref="C369:E369"/>
    <mergeCell ref="C370:E370"/>
    <mergeCell ref="C383:E383"/>
    <mergeCell ref="C384:E384"/>
    <mergeCell ref="C385:E385"/>
    <mergeCell ref="C386:E386"/>
    <mergeCell ref="C387:E387"/>
    <mergeCell ref="C388:E388"/>
    <mergeCell ref="C377:E377"/>
    <mergeCell ref="C378:E378"/>
    <mergeCell ref="C379:E379"/>
    <mergeCell ref="C380:E380"/>
    <mergeCell ref="C381:E381"/>
    <mergeCell ref="C382:E382"/>
    <mergeCell ref="A402:L402"/>
    <mergeCell ref="C395:E395"/>
    <mergeCell ref="C396:E396"/>
    <mergeCell ref="C397:E397"/>
    <mergeCell ref="C398:E398"/>
    <mergeCell ref="C399:E399"/>
    <mergeCell ref="I400:J400"/>
    <mergeCell ref="C389:E389"/>
    <mergeCell ref="C390:E390"/>
    <mergeCell ref="C391:E391"/>
    <mergeCell ref="C392:E392"/>
    <mergeCell ref="C393:E393"/>
    <mergeCell ref="C394:E394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opLeftCell="A10" workbookViewId="0">
      <selection activeCell="C14" sqref="C14"/>
    </sheetView>
  </sheetViews>
  <sheetFormatPr defaultColWidth="11.570312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 x14ac:dyDescent="0.2">
      <c r="A1" s="53"/>
      <c r="B1" s="7"/>
      <c r="C1" s="122" t="s">
        <v>758</v>
      </c>
      <c r="D1" s="89"/>
      <c r="E1" s="89"/>
      <c r="F1" s="89"/>
      <c r="G1" s="89"/>
      <c r="H1" s="89"/>
      <c r="I1" s="89"/>
    </row>
    <row r="2" spans="1:10" x14ac:dyDescent="0.2">
      <c r="A2" s="90" t="s">
        <v>1</v>
      </c>
      <c r="B2" s="91"/>
      <c r="C2" s="93" t="str">
        <f>'Stavební rozpočet'!C2</f>
        <v>SNÍŽENÍ ENERGETICKÉ NÁROČNOSTI BUDOVY 3. ZÁKLADNÍ ŠKOLY, CHEB</v>
      </c>
      <c r="D2" s="65"/>
      <c r="E2" s="96" t="s">
        <v>674</v>
      </c>
      <c r="F2" s="96" t="str">
        <f>'Stavební rozpočet'!I2</f>
        <v>Město Cheb</v>
      </c>
      <c r="G2" s="91"/>
      <c r="H2" s="96" t="s">
        <v>783</v>
      </c>
      <c r="I2" s="123"/>
      <c r="J2" s="30"/>
    </row>
    <row r="3" spans="1:10" ht="25.7" customHeight="1" x14ac:dyDescent="0.2">
      <c r="A3" s="92"/>
      <c r="B3" s="57"/>
      <c r="C3" s="94"/>
      <c r="D3" s="94"/>
      <c r="E3" s="57"/>
      <c r="F3" s="57"/>
      <c r="G3" s="57"/>
      <c r="H3" s="57"/>
      <c r="I3" s="86"/>
      <c r="J3" s="30"/>
    </row>
    <row r="4" spans="1:10" x14ac:dyDescent="0.2">
      <c r="A4" s="82" t="s">
        <v>2</v>
      </c>
      <c r="B4" s="57"/>
      <c r="C4" s="56" t="str">
        <f>'Stavební rozpočet'!C4</f>
        <v>Objekt 1 - učebny 1. stupeň</v>
      </c>
      <c r="D4" s="57"/>
      <c r="E4" s="56" t="s">
        <v>675</v>
      </c>
      <c r="F4" s="56" t="str">
        <f>'Stavební rozpočet'!I4</f>
        <v>Kamila Možná</v>
      </c>
      <c r="G4" s="57"/>
      <c r="H4" s="56" t="s">
        <v>783</v>
      </c>
      <c r="I4" s="119"/>
      <c r="J4" s="30"/>
    </row>
    <row r="5" spans="1:10" x14ac:dyDescent="0.2">
      <c r="A5" s="92"/>
      <c r="B5" s="57"/>
      <c r="C5" s="57"/>
      <c r="D5" s="57"/>
      <c r="E5" s="57"/>
      <c r="F5" s="57"/>
      <c r="G5" s="57"/>
      <c r="H5" s="57"/>
      <c r="I5" s="86"/>
      <c r="J5" s="30"/>
    </row>
    <row r="6" spans="1:10" x14ac:dyDescent="0.2">
      <c r="A6" s="82" t="s">
        <v>3</v>
      </c>
      <c r="B6" s="57"/>
      <c r="C6" s="56" t="str">
        <f>'Stavební rozpočet'!C6</f>
        <v>Malé Náměstí 2287/3, 350 02 Cheb</v>
      </c>
      <c r="D6" s="57"/>
      <c r="E6" s="56" t="s">
        <v>676</v>
      </c>
      <c r="F6" s="56" t="str">
        <f>'Stavební rozpočet'!I6</f>
        <v>Dle výběrového řízení</v>
      </c>
      <c r="G6" s="57"/>
      <c r="H6" s="56" t="s">
        <v>783</v>
      </c>
      <c r="I6" s="119"/>
      <c r="J6" s="30"/>
    </row>
    <row r="7" spans="1:10" x14ac:dyDescent="0.2">
      <c r="A7" s="92"/>
      <c r="B7" s="57"/>
      <c r="C7" s="57"/>
      <c r="D7" s="57"/>
      <c r="E7" s="57"/>
      <c r="F7" s="57"/>
      <c r="G7" s="57"/>
      <c r="H7" s="57"/>
      <c r="I7" s="86"/>
      <c r="J7" s="30"/>
    </row>
    <row r="8" spans="1:10" x14ac:dyDescent="0.2">
      <c r="A8" s="82" t="s">
        <v>662</v>
      </c>
      <c r="B8" s="57"/>
      <c r="C8" s="56" t="str">
        <f>'Stavební rozpočet'!F4</f>
        <v xml:space="preserve"> </v>
      </c>
      <c r="D8" s="57"/>
      <c r="E8" s="56" t="s">
        <v>663</v>
      </c>
      <c r="F8" s="56" t="str">
        <f>'Stavební rozpočet'!F6</f>
        <v xml:space="preserve"> </v>
      </c>
      <c r="G8" s="57"/>
      <c r="H8" s="85" t="s">
        <v>784</v>
      </c>
      <c r="I8" s="119" t="s">
        <v>145</v>
      </c>
      <c r="J8" s="30"/>
    </row>
    <row r="9" spans="1:10" x14ac:dyDescent="0.2">
      <c r="A9" s="92"/>
      <c r="B9" s="57"/>
      <c r="C9" s="57"/>
      <c r="D9" s="57"/>
      <c r="E9" s="57"/>
      <c r="F9" s="57"/>
      <c r="G9" s="57"/>
      <c r="H9" s="57"/>
      <c r="I9" s="86"/>
      <c r="J9" s="30"/>
    </row>
    <row r="10" spans="1:10" x14ac:dyDescent="0.2">
      <c r="A10" s="82" t="s">
        <v>4</v>
      </c>
      <c r="B10" s="57"/>
      <c r="C10" s="56" t="str">
        <f>'Stavební rozpočet'!C8</f>
        <v xml:space="preserve"> </v>
      </c>
      <c r="D10" s="57"/>
      <c r="E10" s="56" t="s">
        <v>677</v>
      </c>
      <c r="F10" s="56" t="str">
        <f>'Stavební rozpočet'!I8</f>
        <v>Kamila Možná</v>
      </c>
      <c r="G10" s="57"/>
      <c r="H10" s="85" t="s">
        <v>785</v>
      </c>
      <c r="I10" s="117" t="str">
        <f>'Stavební rozpočet'!F8</f>
        <v>15.10.2019</v>
      </c>
      <c r="J10" s="30"/>
    </row>
    <row r="11" spans="1:10" x14ac:dyDescent="0.2">
      <c r="A11" s="120"/>
      <c r="B11" s="121"/>
      <c r="C11" s="121"/>
      <c r="D11" s="121"/>
      <c r="E11" s="121"/>
      <c r="F11" s="121"/>
      <c r="G11" s="121"/>
      <c r="H11" s="121"/>
      <c r="I11" s="118"/>
      <c r="J11" s="30"/>
    </row>
    <row r="12" spans="1:10" ht="23.45" customHeight="1" x14ac:dyDescent="0.2">
      <c r="A12" s="113" t="s">
        <v>743</v>
      </c>
      <c r="B12" s="114"/>
      <c r="C12" s="114"/>
      <c r="D12" s="114"/>
      <c r="E12" s="114"/>
      <c r="F12" s="114"/>
      <c r="G12" s="114"/>
      <c r="H12" s="114"/>
      <c r="I12" s="114"/>
    </row>
    <row r="13" spans="1:10" ht="26.45" customHeight="1" x14ac:dyDescent="0.2">
      <c r="A13" s="37" t="s">
        <v>744</v>
      </c>
      <c r="B13" s="115" t="s">
        <v>756</v>
      </c>
      <c r="C13" s="116"/>
      <c r="D13" s="37" t="s">
        <v>759</v>
      </c>
      <c r="E13" s="115" t="s">
        <v>768</v>
      </c>
      <c r="F13" s="116"/>
      <c r="G13" s="37" t="s">
        <v>769</v>
      </c>
      <c r="H13" s="115" t="s">
        <v>786</v>
      </c>
      <c r="I13" s="116"/>
      <c r="J13" s="30"/>
    </row>
    <row r="14" spans="1:10" ht="15.2" customHeight="1" x14ac:dyDescent="0.2">
      <c r="A14" s="38" t="s">
        <v>745</v>
      </c>
      <c r="B14" s="42" t="s">
        <v>757</v>
      </c>
      <c r="C14" s="46">
        <f>SUM('Stavební rozpočet'!AB12:AB399)</f>
        <v>0</v>
      </c>
      <c r="D14" s="111" t="s">
        <v>760</v>
      </c>
      <c r="E14" s="112"/>
      <c r="F14" s="46">
        <v>0</v>
      </c>
      <c r="G14" s="111" t="s">
        <v>770</v>
      </c>
      <c r="H14" s="112"/>
      <c r="I14" s="46">
        <v>0</v>
      </c>
      <c r="J14" s="30"/>
    </row>
    <row r="15" spans="1:10" ht="15.2" customHeight="1" x14ac:dyDescent="0.2">
      <c r="A15" s="39"/>
      <c r="B15" s="42" t="s">
        <v>686</v>
      </c>
      <c r="C15" s="46">
        <f>SUM('Stavební rozpočet'!AC12:AC399)</f>
        <v>0</v>
      </c>
      <c r="D15" s="111" t="s">
        <v>761</v>
      </c>
      <c r="E15" s="112"/>
      <c r="F15" s="46">
        <v>0</v>
      </c>
      <c r="G15" s="111" t="s">
        <v>771</v>
      </c>
      <c r="H15" s="112"/>
      <c r="I15" s="46">
        <v>0</v>
      </c>
      <c r="J15" s="30"/>
    </row>
    <row r="16" spans="1:10" ht="15.2" customHeight="1" x14ac:dyDescent="0.2">
      <c r="A16" s="38" t="s">
        <v>746</v>
      </c>
      <c r="B16" s="42" t="s">
        <v>757</v>
      </c>
      <c r="C16" s="46">
        <f>SUM('Stavební rozpočet'!AD12:AD399)</f>
        <v>0</v>
      </c>
      <c r="D16" s="111" t="s">
        <v>762</v>
      </c>
      <c r="E16" s="112"/>
      <c r="F16" s="46">
        <v>0</v>
      </c>
      <c r="G16" s="111" t="s">
        <v>772</v>
      </c>
      <c r="H16" s="112"/>
      <c r="I16" s="46">
        <v>0</v>
      </c>
      <c r="J16" s="30"/>
    </row>
    <row r="17" spans="1:10" ht="15.2" customHeight="1" x14ac:dyDescent="0.2">
      <c r="A17" s="39"/>
      <c r="B17" s="42" t="s">
        <v>686</v>
      </c>
      <c r="C17" s="46">
        <f>SUM('Stavební rozpočet'!AE12:AE399)</f>
        <v>0</v>
      </c>
      <c r="D17" s="111"/>
      <c r="E17" s="112"/>
      <c r="F17" s="47"/>
      <c r="G17" s="111" t="s">
        <v>773</v>
      </c>
      <c r="H17" s="112"/>
      <c r="I17" s="46">
        <v>0</v>
      </c>
      <c r="J17" s="30"/>
    </row>
    <row r="18" spans="1:10" ht="15.2" customHeight="1" x14ac:dyDescent="0.2">
      <c r="A18" s="38" t="s">
        <v>747</v>
      </c>
      <c r="B18" s="42" t="s">
        <v>757</v>
      </c>
      <c r="C18" s="46">
        <f>SUM('Stavební rozpočet'!AF12:AF399)</f>
        <v>0</v>
      </c>
      <c r="D18" s="111"/>
      <c r="E18" s="112"/>
      <c r="F18" s="47"/>
      <c r="G18" s="111" t="s">
        <v>774</v>
      </c>
      <c r="H18" s="112"/>
      <c r="I18" s="46">
        <v>0</v>
      </c>
      <c r="J18" s="30"/>
    </row>
    <row r="19" spans="1:10" ht="15.2" customHeight="1" x14ac:dyDescent="0.2">
      <c r="A19" s="39"/>
      <c r="B19" s="42" t="s">
        <v>686</v>
      </c>
      <c r="C19" s="46">
        <f>SUM('Stavební rozpočet'!AG12:AG399)</f>
        <v>0</v>
      </c>
      <c r="D19" s="111"/>
      <c r="E19" s="112"/>
      <c r="F19" s="47"/>
      <c r="G19" s="111" t="s">
        <v>775</v>
      </c>
      <c r="H19" s="112"/>
      <c r="I19" s="46">
        <v>0</v>
      </c>
      <c r="J19" s="30"/>
    </row>
    <row r="20" spans="1:10" ht="15.2" customHeight="1" x14ac:dyDescent="0.2">
      <c r="A20" s="109" t="s">
        <v>748</v>
      </c>
      <c r="B20" s="110"/>
      <c r="C20" s="46">
        <f>SUM('Stavební rozpočet'!AH12:AH399)</f>
        <v>0</v>
      </c>
      <c r="D20" s="111"/>
      <c r="E20" s="112"/>
      <c r="F20" s="47"/>
      <c r="G20" s="111"/>
      <c r="H20" s="112"/>
      <c r="I20" s="47"/>
      <c r="J20" s="30"/>
    </row>
    <row r="21" spans="1:10" ht="15.2" customHeight="1" x14ac:dyDescent="0.2">
      <c r="A21" s="109" t="s">
        <v>749</v>
      </c>
      <c r="B21" s="110"/>
      <c r="C21" s="46">
        <f>SUM('Stavební rozpočet'!Z12:Z399)</f>
        <v>0</v>
      </c>
      <c r="D21" s="111"/>
      <c r="E21" s="112"/>
      <c r="F21" s="47"/>
      <c r="G21" s="111"/>
      <c r="H21" s="112"/>
      <c r="I21" s="47"/>
      <c r="J21" s="30"/>
    </row>
    <row r="22" spans="1:10" ht="16.7" customHeight="1" x14ac:dyDescent="0.2">
      <c r="A22" s="109" t="s">
        <v>750</v>
      </c>
      <c r="B22" s="110"/>
      <c r="C22" s="46">
        <f>SUM(C14:C21)</f>
        <v>0</v>
      </c>
      <c r="D22" s="109" t="s">
        <v>763</v>
      </c>
      <c r="E22" s="110"/>
      <c r="F22" s="46">
        <f>SUM(F14:F21)</f>
        <v>0</v>
      </c>
      <c r="G22" s="109" t="s">
        <v>776</v>
      </c>
      <c r="H22" s="110"/>
      <c r="I22" s="46">
        <f>SUM(I14:I21)</f>
        <v>0</v>
      </c>
      <c r="J22" s="30"/>
    </row>
    <row r="23" spans="1:10" ht="15.2" customHeight="1" x14ac:dyDescent="0.2">
      <c r="A23" s="8"/>
      <c r="B23" s="8"/>
      <c r="C23" s="44"/>
      <c r="D23" s="109" t="s">
        <v>764</v>
      </c>
      <c r="E23" s="110"/>
      <c r="F23" s="48">
        <v>0</v>
      </c>
      <c r="G23" s="109" t="s">
        <v>777</v>
      </c>
      <c r="H23" s="110"/>
      <c r="I23" s="46">
        <v>0</v>
      </c>
      <c r="J23" s="30"/>
    </row>
    <row r="24" spans="1:10" ht="15.2" customHeight="1" x14ac:dyDescent="0.2">
      <c r="D24" s="8"/>
      <c r="E24" s="8"/>
      <c r="F24" s="49"/>
      <c r="G24" s="109" t="s">
        <v>778</v>
      </c>
      <c r="H24" s="110"/>
      <c r="I24" s="51"/>
    </row>
    <row r="25" spans="1:10" ht="15.2" customHeight="1" x14ac:dyDescent="0.2">
      <c r="F25" s="50"/>
      <c r="G25" s="109" t="s">
        <v>779</v>
      </c>
      <c r="H25" s="110"/>
      <c r="I25" s="46">
        <v>0</v>
      </c>
      <c r="J25" s="30"/>
    </row>
    <row r="26" spans="1:10" x14ac:dyDescent="0.2">
      <c r="A26" s="7"/>
      <c r="B26" s="7"/>
      <c r="C26" s="7"/>
      <c r="G26" s="8"/>
      <c r="H26" s="8"/>
      <c r="I26" s="8"/>
    </row>
    <row r="27" spans="1:10" ht="15.2" customHeight="1" x14ac:dyDescent="0.2">
      <c r="A27" s="104" t="s">
        <v>751</v>
      </c>
      <c r="B27" s="105"/>
      <c r="C27" s="52">
        <f>SUM('Stavební rozpočet'!AJ12:AJ399)</f>
        <v>0</v>
      </c>
      <c r="D27" s="45"/>
      <c r="E27" s="7"/>
      <c r="F27" s="7"/>
      <c r="G27" s="7"/>
      <c r="H27" s="7"/>
      <c r="I27" s="7"/>
    </row>
    <row r="28" spans="1:10" ht="15.2" customHeight="1" x14ac:dyDescent="0.2">
      <c r="A28" s="104" t="s">
        <v>752</v>
      </c>
      <c r="B28" s="105"/>
      <c r="C28" s="52">
        <f>SUM('Stavební rozpočet'!AK12:AK399)</f>
        <v>0</v>
      </c>
      <c r="D28" s="104" t="s">
        <v>765</v>
      </c>
      <c r="E28" s="105"/>
      <c r="F28" s="52">
        <f>ROUND(C28*(15/100),2)</f>
        <v>0</v>
      </c>
      <c r="G28" s="104" t="s">
        <v>780</v>
      </c>
      <c r="H28" s="105"/>
      <c r="I28" s="52">
        <f>SUM(C27:C29)</f>
        <v>0</v>
      </c>
      <c r="J28" s="30"/>
    </row>
    <row r="29" spans="1:10" ht="15.2" customHeight="1" x14ac:dyDescent="0.2">
      <c r="A29" s="104" t="s">
        <v>753</v>
      </c>
      <c r="B29" s="105"/>
      <c r="C29" s="52">
        <f>SUM('Stavební rozpočet'!AL12:AL399)+(F22+I22+F23+I23+I24+I25)</f>
        <v>0</v>
      </c>
      <c r="D29" s="104" t="s">
        <v>766</v>
      </c>
      <c r="E29" s="105"/>
      <c r="F29" s="52">
        <f>ROUND(C29*(21/100),2)</f>
        <v>0</v>
      </c>
      <c r="G29" s="104" t="s">
        <v>781</v>
      </c>
      <c r="H29" s="105"/>
      <c r="I29" s="52">
        <f>SUM(F28:F29)+I28</f>
        <v>0</v>
      </c>
      <c r="J29" s="30"/>
    </row>
    <row r="30" spans="1:10" x14ac:dyDescent="0.2">
      <c r="A30" s="40"/>
      <c r="B30" s="40"/>
      <c r="C30" s="40"/>
      <c r="D30" s="40"/>
      <c r="E30" s="40"/>
      <c r="F30" s="40"/>
      <c r="G30" s="40"/>
      <c r="H30" s="40"/>
      <c r="I30" s="40"/>
    </row>
    <row r="31" spans="1:10" ht="14.45" customHeight="1" x14ac:dyDescent="0.2">
      <c r="A31" s="106" t="s">
        <v>754</v>
      </c>
      <c r="B31" s="107"/>
      <c r="C31" s="108"/>
      <c r="D31" s="106" t="s">
        <v>767</v>
      </c>
      <c r="E31" s="107"/>
      <c r="F31" s="108"/>
      <c r="G31" s="106" t="s">
        <v>782</v>
      </c>
      <c r="H31" s="107"/>
      <c r="I31" s="108"/>
      <c r="J31" s="31"/>
    </row>
    <row r="32" spans="1:10" ht="14.45" customHeight="1" x14ac:dyDescent="0.2">
      <c r="A32" s="98"/>
      <c r="B32" s="99"/>
      <c r="C32" s="100"/>
      <c r="D32" s="98"/>
      <c r="E32" s="99"/>
      <c r="F32" s="100"/>
      <c r="G32" s="98"/>
      <c r="H32" s="99"/>
      <c r="I32" s="100"/>
      <c r="J32" s="31"/>
    </row>
    <row r="33" spans="1:10" ht="14.45" customHeight="1" x14ac:dyDescent="0.2">
      <c r="A33" s="98"/>
      <c r="B33" s="99"/>
      <c r="C33" s="100"/>
      <c r="D33" s="98"/>
      <c r="E33" s="99"/>
      <c r="F33" s="100"/>
      <c r="G33" s="98"/>
      <c r="H33" s="99"/>
      <c r="I33" s="100"/>
      <c r="J33" s="31"/>
    </row>
    <row r="34" spans="1:10" ht="14.45" customHeight="1" x14ac:dyDescent="0.2">
      <c r="A34" s="98"/>
      <c r="B34" s="99"/>
      <c r="C34" s="100"/>
      <c r="D34" s="98"/>
      <c r="E34" s="99"/>
      <c r="F34" s="100"/>
      <c r="G34" s="98"/>
      <c r="H34" s="99"/>
      <c r="I34" s="100"/>
      <c r="J34" s="31"/>
    </row>
    <row r="35" spans="1:10" ht="14.45" customHeight="1" x14ac:dyDescent="0.2">
      <c r="A35" s="101" t="s">
        <v>755</v>
      </c>
      <c r="B35" s="102"/>
      <c r="C35" s="103"/>
      <c r="D35" s="101" t="s">
        <v>755</v>
      </c>
      <c r="E35" s="102"/>
      <c r="F35" s="103"/>
      <c r="G35" s="101" t="s">
        <v>755</v>
      </c>
      <c r="H35" s="102"/>
      <c r="I35" s="103"/>
      <c r="J35" s="31"/>
    </row>
    <row r="36" spans="1:10" ht="11.25" customHeight="1" x14ac:dyDescent="0.2">
      <c r="A36" s="41" t="s">
        <v>146</v>
      </c>
      <c r="B36" s="43"/>
      <c r="C36" s="43"/>
      <c r="D36" s="43"/>
      <c r="E36" s="43"/>
      <c r="F36" s="43"/>
      <c r="G36" s="43"/>
      <c r="H36" s="43"/>
      <c r="I36" s="43"/>
    </row>
    <row r="37" spans="1:10" x14ac:dyDescent="0.2">
      <c r="A37" s="56"/>
      <c r="B37" s="57"/>
      <c r="C37" s="57"/>
      <c r="D37" s="57"/>
      <c r="E37" s="57"/>
      <c r="F37" s="57"/>
      <c r="G37" s="57"/>
      <c r="H37" s="57"/>
      <c r="I37" s="57"/>
    </row>
  </sheetData>
  <mergeCells count="83">
    <mergeCell ref="C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ageMargins left="0.39400000000000002" right="0.39400000000000002" top="0.59099999999999997" bottom="0.59099999999999997" header="0.5" footer="0.5"/>
  <pageSetup paperSize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</dc:creator>
  <cp:lastModifiedBy>Pospíšil Zdeněk</cp:lastModifiedBy>
  <dcterms:created xsi:type="dcterms:W3CDTF">2020-10-06T07:14:43Z</dcterms:created>
  <dcterms:modified xsi:type="dcterms:W3CDTF">2020-10-15T06:42:47Z</dcterms:modified>
</cp:coreProperties>
</file>